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state="hidden" r:id="rId19"/>
    <sheet name="成本法" sheetId="68" state="hidden" r:id="rId20"/>
    <sheet name="成本法 (元)" sheetId="69" state="hidden" r:id="rId21"/>
    <sheet name="假设开发法" sheetId="12" state="hidden" r:id="rId22"/>
    <sheet name="比较法-商业" sheetId="33" state="hidden" r:id="rId23"/>
    <sheet name="比较法-办公" sheetId="34"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<sst xmlns="http://schemas.openxmlformats.org/spreadsheetml/2006/main" count="9937" uniqueCount="2787">
  <si>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</si>
  <si>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</si>
  <si>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</si>
  <si>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</si>
  <si>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</si>
  <si>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</si>
  <si>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</si>
  <si>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</si>
  <si>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</si>
  <si>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</si>
  <si>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</si>
  <si>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</si>
  <si>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</si>
  <si>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</si>
  <si>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</si>
  <si>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</si>
  <si>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</si>
  <si>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</si>
  <si>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</si>
  <si>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</si>
  <si>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</si>
  <si>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</si>
  <si>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</si>
  <si>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</si>
  <si>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</si>
  <si>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</si>
  <si>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</si>
  <si>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</si>
  <si>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</si>
  <si>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</si>
  <si>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</si>
  <si>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</si>
  <si>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</si>
  <si>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</si>
  <si>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</si>
  <si>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</si>
  <si>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</si>
  <si>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</si>
  <si>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</si>
  <si>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</si>
  <si>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</si>
  <si>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</si>
  <si>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</si>
  <si>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</si>
  <si>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</si>
  <si>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</si>
  <si>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</si>
  <si>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</si>
  <si>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</si>
  <si>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</si>
  <si>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</si>
  <si>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</si>
  <si>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</si>
  <si>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</si>
  <si>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</si>
  <si>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</si>
  <si>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</si>
  <si>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</si>
  <si>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</si>
  <si>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</si>
  <si>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</si>
  <si>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</si>
  <si>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</si>
  <si>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</si>
  <si>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</si>
  <si>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</si>
  <si>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</si>
  <si>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</si>
  <si>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</si>
  <si>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</si>
  <si>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</si>
  <si>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</si>
  <si>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</si>
  <si>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</si>
  <si>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</si>
  <si>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</si>
  <si>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</si>
  <si>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</si>
  <si>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</si>
  <si>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</si>
  <si>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</si>
  <si>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</si>
  <si>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</si>
  <si>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</si>
  <si>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</si>
  <si>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</si>
  <si>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</si>
  <si>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</si>
  <si>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</si>
  <si>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</si>
  <si>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</si>
  <si>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</si>
  <si>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</si>
  <si>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</si>
  <si>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</si>
  <si>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</si>
  <si>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</si>
  <si>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</si>
  <si>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</si>
  <si>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</si>
  <si>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</si>
  <si>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</si>
  <si>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</si>
  <si>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</si>
  <si>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</si>
  <si>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</si>
  <si>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</si>
  <si>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</si>
  <si>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</si>
  <si>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</si>
  <si>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</si>
  <si>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</si>
  <si>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</si>
  <si>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</si>
  <si>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</si>
  <si>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</si>
  <si>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</si>
  <si>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</si>
  <si>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</si>
  <si>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</si>
  <si>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</si>
  <si>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</si>
  <si>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</si>
  <si>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</si>
  <si>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</si>
  <si>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</si>
  <si>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</si>
  <si>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</si>
  <si>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</si>
  <si>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</si>
  <si>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</si>
  <si>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</si>
  <si>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</si>
  <si>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</si>
  <si>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</si>
  <si>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</si>
  <si>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</si>
  <si>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</si>
  <si>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</si>
  <si>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</si>
  <si>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</si>
  <si>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</si>
  <si>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</si>
  <si>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</si>
  <si>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</si>
  <si>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</si>
  <si>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</si>
  <si>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</si>
  <si>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</si>
  <si>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</si>
  <si>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</si>
  <si>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</si>
  <si>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</si>
  <si>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</si>
  <si>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</si>
  <si>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</si>
  <si>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</si>
  <si>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</si>
  <si>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</si>
  <si>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</si>
  <si>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</si>
  <si>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</si>
  <si>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</si>
  <si>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</si>
  <si>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</si>
  <si>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</si>
  <si>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</si>
  <si>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</si>
  <si>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</si>
  <si>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</si>
  <si>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</si>
  <si>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</si>
  <si>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</si>
  <si>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</si>
  <si>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</si>
  <si>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</si>
  <si>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</si>
  <si>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</si>
  <si>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</si>
  <si>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</si>
  <si>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</si>
  <si>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</si>
  <si>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</si>
  <si>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</si>
  <si>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</si>
  <si>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</si>
  <si>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</si>
  <si>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</si>
  <si>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</si>
  <si>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</si>
  <si>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</si>
  <si>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</si>
  <si>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</si>
  <si>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</si>
  <si>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</si>
  <si>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</si>
  <si>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</si>
  <si>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</si>
  <si>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</si>
  <si>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</si>
  <si>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</si>
  <si>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</si>
  <si>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</si>
  <si>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</si>
  <si>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</si>
  <si>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</si>
  <si>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</si>
  <si>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</si>
  <si>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</si>
  <si>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</si>
  <si>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</si>
  <si>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</si>
  <si>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</si>
  <si>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</si>
  <si>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</si>
  <si>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</si>
  <si>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</si>
  <si>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</si>
  <si>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</si>
  <si>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</si>
  <si>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</si>
  <si>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</si>
  <si>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</si>
  <si>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</si>
  <si>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</si>
  <si>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</si>
  <si>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</si>
  <si>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</si>
  <si>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</si>
  <si>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</si>
  <si>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</si>
  <si>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</si>
  <si>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</si>
  <si>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</si>
  <si>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</si>
  <si>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</si>
  <si>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</si>
  <si>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</si>
  <si>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</si>
  <si>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</si>
  <si>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</si>
  <si>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</si>
  <si>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</si>
  <si>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</si>
  <si>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</si>
  <si>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</si>
  <si>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</si>
  <si>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</si>
  <si>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</si>
  <si>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</si>
  <si>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</si>
  <si>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</si>
  <si>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</si>
  <si>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</si>
  <si>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</si>
  <si>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</si>
  <si>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</si>
  <si>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</si>
  <si>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</si>
  <si>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</si>
  <si>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</si>
  <si>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</si>
  <si>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</si>
  <si>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</si>
  <si>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</si>
  <si>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</si>
  <si>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</si>
  <si>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</si>
  <si>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</si>
  <si>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</si>
  <si>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</si>
  <si>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</si>
  <si>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</si>
  <si>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</si>
  <si>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</si>
  <si>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</si>
  <si>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</si>
  <si>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</si>
  <si>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</si>
  <si>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</si>
  <si>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</si>
  <si>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</si>
  <si>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</si>
  <si>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</si>
  <si>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</si>
  <si>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</si>
  <si>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</si>
  <si>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</si>
  <si>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</si>
  <si>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</si>
  <si>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</si>
  <si>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</si>
  <si>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</si>
  <si>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</si>
  <si>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</si>
  <si>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</si>
  <si>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</si>
  <si>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</si>
  <si>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</si>
  <si>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</si>
  <si>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</si>
  <si>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</si>
  <si>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</si>
  <si>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</si>
  <si>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</si>
  <si>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</si>
  <si>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</si>
  <si>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</si>
  <si>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</si>
  <si>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</si>
  <si>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</si>
  <si>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</si>
  <si>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</si>
  <si>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</si>
  <si>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</si>
  <si>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</si>
  <si>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</si>
  <si>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</si>
  <si>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</si>
  <si>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</si>
  <si>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</si>
  <si>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</si>
  <si>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</si>
  <si>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</si>
  <si>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</si>
  <si>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</si>
  <si>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</si>
  <si>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</si>
  <si>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</si>
  <si>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</si>
  <si>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</si>
  <si>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</si>
  <si>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</si>
  <si>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</si>
  <si>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</si>
  <si>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</si>
  <si>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</si>
  <si>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</si>
  <si>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</si>
  <si>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</si>
  <si>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</si>
  <si>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</si>
  <si>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</si>
  <si>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</si>
  <si>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</si>
  <si>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</si>
  <si>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</si>
  <si>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</si>
  <si>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</si>
  <si>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</si>
  <si>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</si>
  <si>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</si>
  <si>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</si>
  <si>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</si>
  <si>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</si>
  <si>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</si>
  <si>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</si>
  <si>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</si>
  <si>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</si>
  <si>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</si>
  <si>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</si>
  <si>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</si>
  <si>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</si>
  <si>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</si>
  <si>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</si>
  <si>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</si>
  <si>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</si>
  <si>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</si>
  <si>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</si>
  <si>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</si>
  <si>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</si>
  <si>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</si>
  <si>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</si>
  <si>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</si>
  <si>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</si>
  <si>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</si>
  <si>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</si>
  <si>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</si>
  <si>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</si>
  <si>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</si>
  <si>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</si>
  <si>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</si>
  <si>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</si>
  <si>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</si>
  <si>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</si>
  <si>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</si>
  <si>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</si>
  <si>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</si>
  <si>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</si>
  <si>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</si>
  <si>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</si>
  <si>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</si>
  <si>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</si>
  <si>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</si>
  <si>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</si>
  <si>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</si>
  <si>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</si>
  <si>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</si>
  <si>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</si>
  <si>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</si>
  <si>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</si>
  <si>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</si>
  <si>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</si>
  <si>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</si>
  <si>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</si>
  <si>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</si>
  <si>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</si>
  <si>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</si>
  <si>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</si>
  <si>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</si>
  <si>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</si>
  <si>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</si>
  <si>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</si>
  <si>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</si>
  <si>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</si>
  <si>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</si>
  <si>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</si>
  <si>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</si>
  <si>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</si>
  <si>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</si>
  <si>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</si>
  <si>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</si>
  <si>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</si>
  <si>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</si>
  <si>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</si>
  <si>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</si>
  <si>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</si>
  <si>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</si>
  <si>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</si>
  <si>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</si>
  <si>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</si>
  <si>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</si>
  <si>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</si>
  <si>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</si>
  <si>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</si>
  <si>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</si>
  <si>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</si>
  <si>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</si>
  <si>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</si>
  <si>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</si>
  <si>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</si>
  <si>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</si>
  <si>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</si>
  <si>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</si>
  <si>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</si>
  <si>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</si>
  <si>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</si>
  <si>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</si>
  <si>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</si>
  <si>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租金50万</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</si>
  <si>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</si>
  <si>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</si>
  <si>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</si>
  <si>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</si>
  <si>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</si>
  <si>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</si>
  <si>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</si>
  <si>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</si>
  <si>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</si>
  <si>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</si>
  <si>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</si>
  <si>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</si>
  <si>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</si>
  <si>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</si>
  <si>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</si>
  <si>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</si>
  <si>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</si>
  <si>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</si>
  <si>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</si>
  <si>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</si>
  <si>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</si>
  <si>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</si>
  <si>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</si>
  <si>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</si>
  <si>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</si>
  <si>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</si>
  <si>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</si>
  <si>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</si>
  <si>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</si>
  <si>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</si>
  <si>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</si>
  <si>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</si>
  <si>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</si>
  <si>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</si>
  <si>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</si>
  <si>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</si>
  <si>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</si>
  <si>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</si>
  <si>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</si>
  <si>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</si>
  <si>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</si>
  <si>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</si>
  <si>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</si>
  <si>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</si>
  <si>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</si>
  <si>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</si>
  <si>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</si>
  <si>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</si>
  <si>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</si>
  <si>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</si>
  <si>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</si>
  <si>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</si>
  <si>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</si>
  <si>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</si>
  <si>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</si>
  <si>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</si>
  <si>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</si>
  <si>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</si>
  <si>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</si>
  <si>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</si>
  <si>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</si>
  <si>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</si>
  <si>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</si>
  <si>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</si>
  <si>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</si>
  <si>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</si>
  <si>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</si>
  <si>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</si>
  <si>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</si>
  <si>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</si>
  <si>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</si>
  <si>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</si>
  <si>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</si>
  <si>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</si>
  <si>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</si>
  <si>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</si>
  <si>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</si>
  <si>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</si>
  <si>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</si>
  <si>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</si>
  <si>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</si>
  <si>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</si>
  <si>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</si>
  <si>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</si>
  <si>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</si>
  <si>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</si>
  <si>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</si>
  <si>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</si>
  <si>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</si>
  <si>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</si>
  <si>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</si>
  <si>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</si>
  <si>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</si>
  <si>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</si>
  <si>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</si>
  <si>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</si>
  <si>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</si>
  <si>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</si>
  <si>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</si>
  <si>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</si>
  <si>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</si>
  <si>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</si>
  <si>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</si>
  <si>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</si>
  <si>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</si>
  <si>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</si>
  <si>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</si>
  <si>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</si>
  <si>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</si>
  <si>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</si>
  <si>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</si>
  <si>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</si>
  <si>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</si>
  <si>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</si>
  <si>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</si>
  <si>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</si>
  <si>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</si>
  <si>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</si>
  <si>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</si>
  <si>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</si>
  <si>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</si>
  <si>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</si>
  <si>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</si>
  <si>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</si>
  <si>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</si>
  <si>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</si>
  <si>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</si>
  <si>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</si>
  <si>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</si>
  <si>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</si>
  <si>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</si>
  <si>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</si>
  <si>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</si>
  <si>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</si>
  <si>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</si>
  <si>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</si>
  <si>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</si>
  <si>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</si>
  <si>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</si>
  <si>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</si>
  <si>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</si>
  <si>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</si>
  <si>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</si>
  <si>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</si>
  <si>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</si>
  <si>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</si>
  <si>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</si>
  <si>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</si>
  <si>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</si>
  <si>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</si>
  <si>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</si>
  <si>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</si>
  <si>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</si>
  <si>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</si>
  <si>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</si>
  <si>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</si>
  <si>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</si>
  <si>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</si>
  <si>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</si>
  <si>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</si>
  <si>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</si>
  <si>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</si>
  <si>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</si>
  <si>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</si>
  <si>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</si>
  <si>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</si>
  <si>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</si>
  <si>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</si>
  <si>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</si>
  <si>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</si>
  <si>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</si>
  <si>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</si>
  <si>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</si>
  <si>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</si>
  <si>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</si>
  <si>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</si>
  <si>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</si>
  <si>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</si>
  <si>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</si>
  <si>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</si>
  <si>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</si>
  <si>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</si>
  <si>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</si>
  <si>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</si>
  <si>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</si>
  <si>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</si>
  <si>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</si>
  <si>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</si>
  <si>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</si>
  <si>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</si>
  <si>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</si>
  <si>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</si>
  <si>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</si>
  <si>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</si>
  <si>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</si>
  <si>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</si>
  <si>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</si>
  <si>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</si>
  <si>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</si>
  <si>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</si>
  <si>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</si>
  <si>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</si>
  <si>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</si>
  <si>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</si>
  <si>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</si>
  <si>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</si>
  <si>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</si>
  <si>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</si>
  <si>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</si>
  <si>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</si>
  <si>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</si>
  <si>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</si>
  <si>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</si>
  <si>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</si>
  <si>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</si>
  <si>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</si>
  <si>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</si>
  <si>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</si>
  <si>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</si>
  <si>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</si>
  <si>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</si>
  <si>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</si>
  <si>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</si>
  <si>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</si>
  <si>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</si>
  <si>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</si>
  <si>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</si>
  <si>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</si>
  <si>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</si>
  <si>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</si>
  <si>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</si>
  <si>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</si>
  <si>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</si>
  <si>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</si>
  <si>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</si>
  <si>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</si>
  <si>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</si>
  <si>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</si>
  <si>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</si>
  <si>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</si>
  <si>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</si>
  <si>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</si>
  <si>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</si>
  <si>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</si>
  <si>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</si>
  <si>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</si>
  <si>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</si>
  <si>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</si>
  <si>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</si>
  <si>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</si>
  <si>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</si>
  <si>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</si>
  <si>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</si>
  <si>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</si>
  <si>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</si>
  <si>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</si>
  <si>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</si>
  <si>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</si>
  <si>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</si>
  <si>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</si>
  <si>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</si>
  <si>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</si>
  <si>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</si>
  <si>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</si>
  <si>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</si>
  <si>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</si>
  <si>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</si>
  <si>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</si>
  <si>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</si>
  <si>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</si>
  <si>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</si>
  <si>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</si>
  <si>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</si>
  <si>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</si>
  <si>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</si>
  <si>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</si>
  <si>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</si>
  <si>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</si>
  <si>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</si>
  <si>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</si>
  <si>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</si>
  <si>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</si>
  <si>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</si>
  <si>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</si>
  <si>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</si>
  <si>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</si>
  <si>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</si>
  <si>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</si>
  <si>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</si>
  <si>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</si>
  <si>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</si>
  <si>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</si>
  <si>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</si>
  <si>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</si>
  <si>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</si>
  <si>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</si>
  <si>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</si>
  <si>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</si>
  <si>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</si>
  <si>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</si>
  <si>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</si>
  <si>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</si>
  <si>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</si>
  <si>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</si>
  <si>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</si>
  <si>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</si>
  <si>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</si>
  <si>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</si>
  <si>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</si>
  <si>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</si>
  <si>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</si>
  <si>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</si>
  <si>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</si>
  <si>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</si>
  <si>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</si>
  <si>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</si>
  <si>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</si>
  <si>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</si>
  <si>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</si>
  <si>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</si>
  <si>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</si>
  <si>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</si>
  <si>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</si>
  <si>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</si>
  <si>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</si>
  <si>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</si>
  <si>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</si>
  <si>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</si>
  <si>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</si>
  <si>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</si>
  <si>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</si>
  <si>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</si>
  <si>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</si>
  <si>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</si>
  <si>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</si>
  <si>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</si>
  <si>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</si>
  <si>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</si>
  <si>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</si>
  <si>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</si>
  <si>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</si>
  <si>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</si>
  <si>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</si>
  <si>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</si>
  <si>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</si>
  <si>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</si>
  <si>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</si>
  <si>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</si>
  <si>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</si>
  <si>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</si>
  <si>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</si>
  <si>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</si>
  <si>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</si>
  <si>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</si>
  <si>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</si>
  <si>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</si>
  <si>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</si>
  <si>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</si>
  <si>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</si>
  <si>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</si>
  <si>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</si>
  <si>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</si>
  <si>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</si>
  <si>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</si>
  <si>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</si>
  <si>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</si>
  <si>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</si>
  <si>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</si>
  <si>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</si>
  <si>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</si>
  <si>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</si>
  <si>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</si>
  <si>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</si>
  <si>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</si>
  <si>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</si>
  <si>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</si>
  <si>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</si>
  <si>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</si>
  <si>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</si>
  <si>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</si>
  <si>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</si>
  <si>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</si>
  <si>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</si>
  <si>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</si>
  <si>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</si>
  <si>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</si>
  <si>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</si>
  <si>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</si>
  <si>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</si>
  <si>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</si>
  <si>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</si>
  <si>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</si>
  <si>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</si>
  <si>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</si>
  <si>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</si>
  <si>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</si>
  <si>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</si>
  <si>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</si>
  <si>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</si>
  <si>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</si>
  <si>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</si>
  <si>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</si>
  <si>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</si>
  <si>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</si>
  <si>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</si>
  <si>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</si>
  <si>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</si>
  <si>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</si>
  <si>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</si>
  <si>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</si>
  <si>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</si>
  <si>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</si>
  <si>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</si>
  <si>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</si>
  <si>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</si>
  <si>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</si>
  <si>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</si>
  <si>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</si>
  <si>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</si>
  <si>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</si>
  <si>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</si>
  <si>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</si>
  <si>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</si>
  <si>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</si>
  <si>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</si>
  <si>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</si>
  <si>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</si>
  <si>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</si>
  <si>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</si>
  <si>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</si>
  <si>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</si>
  <si>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</si>
  <si>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</si>
  <si>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</si>
  <si>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</si>
  <si>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</si>
  <si>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</si>
  <si>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</si>
  <si>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</si>
  <si>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</si>
  <si>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</si>
  <si>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</si>
  <si>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</si>
  <si>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</si>
  <si>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</si>
  <si>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</si>
  <si>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</si>
  <si>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</si>
  <si>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</si>
  <si>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</si>
  <si>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</si>
  <si>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</si>
  <si>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</si>
  <si>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</si>
  <si>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</si>
  <si>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</si>
  <si>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</si>
  <si>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</si>
  <si>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</si>
  <si>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</si>
  <si>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</si>
  <si>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</si>
  <si>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</si>
  <si>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</si>
  <si>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</si>
  <si>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</si>
  <si>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</si>
  <si>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</si>
  <si>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</si>
  <si>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</si>
  <si>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</si>
  <si>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</si>
  <si>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</si>
  <si>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</si>
  <si>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</si>
  <si>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</si>
  <si>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</si>
  <si>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</si>
  <si>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</si>
  <si>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</si>
  <si>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</si>
  <si>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</si>
  <si>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</si>
  <si>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</si>
  <si>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</si>
  <si>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</si>
  <si>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</si>
  <si>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</si>
  <si>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</si>
  <si>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</si>
  <si>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</si>
  <si>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</si>
  <si>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</si>
  <si>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</si>
  <si>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</si>
  <si>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</si>
  <si>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</si>
  <si>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</si>
  <si>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</si>
  <si>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</si>
  <si>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</si>
  <si>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</si>
  <si>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</si>
  <si>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</si>
  <si>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</si>
  <si>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</si>
  <si>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</si>
  <si>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</si>
  <si>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</si>
  <si>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</si>
  <si>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</si>
  <si>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</si>
  <si>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</si>
  <si>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</si>
  <si>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</si>
  <si>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</si>
  <si>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</si>
  <si>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</si>
  <si>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</si>
  <si>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</si>
  <si>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</si>
  <si>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</si>
  <si>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</si>
  <si>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</si>
  <si>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</si>
  <si>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</si>
  <si>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</si>
  <si>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</si>
  <si>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</si>
  <si>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</si>
  <si>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</si>
  <si>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</si>
  <si>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</si>
  <si>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</si>
  <si>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</si>
  <si>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</si>
  <si>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</si>
  <si>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</si>
  <si>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</si>
  <si>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</si>
  <si>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</si>
  <si>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</si>
  <si>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</si>
  <si>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</si>
  <si>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</si>
  <si>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</si>
  <si>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</si>
  <si>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</si>
  <si>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</si>
  <si>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</si>
  <si>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</si>
  <si>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</si>
  <si>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</si>
  <si>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</si>
  <si>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</si>
  <si>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</si>
  <si>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</si>
  <si>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</si>
  <si>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</si>
  <si>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</si>
  <si>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</si>
  <si>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</si>
  <si>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</si>
  <si>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</si>
  <si>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</si>
  <si>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</si>
  <si>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</si>
  <si>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</si>
  <si>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</si>
  <si>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</si>
  <si>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</si>
  <si>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</si>
  <si>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</si>
  <si>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</si>
  <si>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</si>
  <si>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</si>
  <si>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</si>
  <si>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</si>
  <si>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</si>
  <si>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</si>
  <si>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</si>
  <si>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</si>
  <si>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</si>
  <si>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</si>
  <si>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</si>
  <si>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</si>
  <si>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</si>
  <si>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</si>
  <si>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</si>
  <si>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</si>
  <si>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</si>
  <si>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</si>
  <si>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</si>
  <si>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</si>
  <si>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</si>
  <si>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</si>
  <si>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</si>
  <si>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</si>
  <si>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</si>
  <si>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</si>
  <si>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</si>
  <si>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</si>
  <si>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</si>
  <si>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</si>
  <si>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</si>
  <si>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</si>
  <si>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</si>
  <si>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</si>
  <si>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</si>
  <si>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</si>
  <si>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</si>
  <si>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</si>
  <si>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</si>
  <si>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</si>
  <si>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</si>
  <si>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</si>
  <si>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</si>
  <si>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</si>
  <si>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</si>
  <si>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</si>
  <si>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</si>
  <si>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</si>
  <si>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</si>
  <si>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</si>
  <si>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</si>
  <si>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</si>
  <si>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</si>
  <si>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</si>
  <si>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</si>
  <si>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</si>
  <si>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</si>
  <si>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</si>
  <si>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</si>
  <si>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</si>
  <si>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</si>
  <si>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</si>
  <si>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</si>
  <si>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</si>
  <si>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</si>
  <si>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</si>
  <si>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</si>
  <si>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</si>
  <si>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</si>
  <si>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</si>
  <si>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</si>
  <si>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</si>
  <si>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</si>
  <si>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</si>
  <si>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</si>
  <si>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</si>
  <si>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</si>
  <si>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</si>
  <si>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</si>
  <si>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</si>
  <si>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</si>
  <si>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</si>
  <si>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</si>
  <si>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</si>
  <si>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</si>
  <si>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</si>
  <si>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</si>
  <si>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</si>
  <si>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</si>
  <si>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</si>
  <si>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</si>
  <si>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</si>
  <si>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</si>
  <si>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</si>
  <si>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</si>
  <si>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</si>
  <si>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</si>
  <si>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</si>
  <si>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</si>
  <si>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</si>
  <si>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</si>
  <si>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</si>
  <si>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</si>
  <si>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</si>
  <si>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</si>
  <si>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</si>
  <si>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</si>
  <si>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</si>
  <si>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</si>
  <si>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</si>
  <si>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</si>
  <si>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</si>
  <si>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</si>
  <si>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</si>
  <si>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</si>
  <si>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</si>
  <si>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</si>
  <si>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</si>
  <si>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</si>
  <si>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</si>
  <si>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</si>
  <si>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</si>
  <si>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</si>
  <si>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</si>
  <si>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</si>
  <si>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</si>
  <si>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</si>
  <si>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</si>
  <si>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</si>
  <si>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</si>
  <si>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</si>
  <si>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</si>
  <si>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</si>
  <si>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</si>
  <si>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</si>
  <si>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</si>
  <si>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</si>
  <si>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</si>
  <si>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</si>
  <si>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</si>
  <si>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</si>
  <si>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</si>
  <si>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</si>
  <si>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</si>
  <si>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</si>
  <si>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</si>
  <si>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</si>
  <si>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</si>
  <si>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</si>
  <si>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</si>
  <si>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</si>
  <si>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</si>
  <si>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</si>
  <si>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</si>
  <si>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</si>
  <si>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</si>
  <si>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</si>
  <si>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</si>
  <si>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</si>
  <si>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</si>
  <si>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</si>
  <si>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</si>
  <si>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</si>
  <si>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</si>
  <si>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</si>
  <si>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</si>
  <si>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</si>
  <si>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</si>
  <si>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</si>
  <si>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</si>
  <si>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</si>
  <si>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</si>
  <si>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</si>
  <si>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</si>
  <si>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</si>
  <si>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</si>
  <si>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</si>
  <si>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</si>
  <si>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</si>
  <si>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</si>
  <si>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</si>
  <si>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</si>
  <si>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</si>
  <si>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</si>
  <si>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</si>
  <si>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</si>
  <si>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</si>
  <si>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</si>
  <si>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</si>
  <si>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</si>
  <si>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</si>
  <si>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</si>
  <si>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</si>
  <si>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</si>
  <si>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</si>
  <si>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</si>
  <si>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</si>
  <si>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</si>
  <si>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</si>
  <si>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</si>
  <si>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</si>
  <si>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</si>
  <si>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</si>
  <si>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</si>
  <si>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</si>
  <si>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</si>
  <si>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</si>
  <si>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</si>
  <si>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</si>
  <si>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</si>
  <si>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</si>
  <si>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</si>
  <si>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</si>
  <si>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</si>
  <si>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</si>
  <si>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</si>
  <si>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</si>
  <si>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</si>
  <si>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</si>
  <si>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</si>
  <si>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</si>
  <si>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</si>
  <si>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</si>
  <si>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</si>
  <si>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</si>
  <si>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</si>
  <si>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</si>
  <si>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</si>
  <si>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</si>
  <si>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</si>
  <si>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</si>
  <si>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</si>
  <si>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</si>
  <si>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</si>
  <si>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</si>
  <si>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</si>
  <si>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</si>
  <si>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</si>
  <si>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</si>
  <si>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</si>
  <si>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</si>
  <si>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</si>
  <si>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</si>
  <si>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</si>
  <si>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</si>
  <si>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</si>
  <si>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</si>
  <si>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</si>
  <si>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</si>
  <si>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</si>
  <si>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</si>
  <si>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</si>
  <si>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</si>
  <si>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</si>
  <si>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</si>
  <si>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</si>
  <si>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</si>
  <si>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</si>
  <si>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</si>
  <si>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</si>
  <si>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</si>
  <si>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</si>
  <si>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</si>
  <si>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</si>
  <si>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</si>
  <si>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</si>
  <si>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</si>
  <si>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</si>
  <si>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</si>
  <si>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</si>
  <si>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</si>
  <si>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</si>
  <si>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</si>
  <si>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</si>
  <si>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</si>
  <si>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</si>
  <si>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</si>
  <si>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</si>
  <si>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</si>
  <si>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</si>
  <si>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</si>
  <si>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</si>
  <si>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</si>
  <si>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</si>
  <si>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</si>
  <si>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</si>
  <si>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</si>
  <si>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</si>
  <si>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</si>
  <si>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</si>
  <si>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</si>
  <si>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</si>
  <si>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</si>
  <si>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</si>
  <si>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</si>
  <si>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</si>
  <si>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</si>
  <si>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</si>
  <si>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</si>
  <si>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</si>
  <si>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</si>
  <si>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</si>
  <si>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</si>
  <si>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</si>
  <si>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</si>
  <si>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</si>
  <si>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</si>
  <si>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</si>
  <si>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</si>
  <si>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</si>
  <si>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</si>
  <si>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</si>
  <si>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</si>
  <si>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</si>
  <si>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</si>
  <si>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</si>
  <si>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</si>
  <si>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</si>
  <si>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</si>
  <si>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</si>
  <si>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</si>
  <si>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</si>
  <si>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</si>
  <si>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</si>
  <si>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</si>
  <si>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</si>
  <si>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</si>
  <si>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</si>
  <si>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</si>
  <si>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</si>
  <si>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</si>
  <si>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</si>
  <si>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</si>
  <si>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</si>
  <si>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</si>
  <si>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</si>
  <si>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</si>
  <si>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</si>
  <si>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</si>
  <si>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</si>
  <si>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</si>
  <si>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</si>
  <si>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</si>
  <si>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</si>
  <si>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</si>
  <si>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</si>
  <si>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</si>
  <si>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</si>
  <si>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</si>
  <si>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</si>
  <si>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</si>
  <si>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</si>
  <si>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</si>
  <si>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</si>
  <si>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</si>
  <si>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</si>
  <si>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</si>
  <si>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</si>
  <si>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</si>
  <si>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</si>
  <si>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</si>
  <si>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</si>
  <si>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</si>
  <si>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</si>
  <si>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</si>
  <si>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</si>
  <si>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</si>
  <si>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</si>
  <si>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</si>
  <si>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</si>
  <si>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</si>
  <si>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</si>
  <si>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</si>
  <si>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</si>
  <si>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</si>
  <si>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</si>
  <si>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</si>
  <si>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</si>
  <si>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</si>
  <si>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</si>
  <si>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</si>
  <si>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</si>
  <si>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</si>
  <si>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</si>
  <si>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</si>
  <si>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</si>
  <si>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</si>
  <si>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</si>
  <si>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</si>
  <si>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</si>
  <si>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</si>
  <si>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</si>
  <si>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</si>
  <si>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</si>
  <si>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</si>
  <si>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</si>
  <si>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</si>
  <si>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</si>
  <si>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</si>
  <si>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</si>
  <si>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</si>
  <si>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</si>
  <si>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</si>
  <si>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</si>
  <si>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</si>
  <si>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</si>
  <si>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</si>
  <si>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</si>
  <si>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</si>
  <si>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</si>
  <si>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</si>
  <si>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</si>
  <si>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</si>
  <si>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</si>
  <si>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</si>
  <si>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</si>
  <si>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</si>
  <si>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</si>
  <si>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</si>
  <si>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</si>
  <si>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</si>
  <si>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</si>
  <si>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</si>
  <si>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</si>
  <si>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</si>
  <si>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</si>
  <si>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</si>
  <si>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</si>
  <si>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</si>
  <si>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</si>
  <si>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</si>
  <si>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</si>
  <si>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</si>
  <si>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</si>
  <si>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</si>
  <si>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</si>
  <si>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</si>
  <si>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</si>
  <si>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</si>
  <si>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</si>
  <si>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</si>
  <si>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</si>
  <si>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</si>
  <si>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</si>
  <si>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</si>
  <si>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</si>
  <si>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</si>
  <si>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</si>
  <si>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</si>
  <si>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</si>
  <si>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</si>
  <si>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</si>
  <si>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</si>
  <si>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</si>
  <si>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</si>
  <si>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</si>
  <si>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</si>
  <si>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</si>
  <si>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</si>
  <si>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</si>
  <si>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</si>
  <si>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</si>
  <si>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</si>
  <si>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</si>
  <si>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</si>
  <si>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</si>
  <si>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</si>
  <si>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</si>
  <si>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</si>
  <si>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</si>
  <si>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</si>
  <si>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</si>
  <si>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</si>
  <si>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</si>
  <si>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</si>
  <si>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</si>
  <si>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</si>
  <si>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</si>
  <si>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</si>
  <si>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</si>
  <si>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</si>
  <si>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</si>
  <si>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</si>
  <si>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</si>
  <si>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</si>
  <si>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</si>
  <si>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</si>
  <si>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</si>
  <si>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</si>
  <si>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</si>
  <si>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</si>
  <si>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</si>
  <si>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</si>
  <si>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</si>
  <si>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</si>
  <si>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</si>
  <si>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</si>
  <si>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</si>
  <si>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</si>
  <si>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</si>
  <si>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</si>
  <si>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</si>
  <si>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</si>
  <si>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</si>
  <si>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</si>
  <si>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</si>
  <si>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</si>
  <si>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</si>
  <si>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</si>
  <si>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</si>
  <si>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</si>
  <si>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</si>
  <si>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</si>
  <si>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</si>
  <si>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</si>
  <si>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</si>
  <si>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</si>
  <si>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</si>
  <si>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</si>
  <si>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</si>
  <si>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</si>
  <si>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</si>
  <si>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</si>
  <si>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</si>
  <si>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</si>
  <si>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</si>
  <si>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</si>
  <si>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</si>
  <si>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</si>
  <si>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</si>
  <si>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</si>
  <si>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</si>
  <si>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</si>
  <si>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</si>
  <si>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</si>
  <si>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</si>
  <si>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</si>
  <si>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</si>
  <si>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</si>
  <si>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</si>
  <si>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</si>
  <si>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</si>
  <si>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</si>
  <si>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</si>
  <si>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</si>
  <si>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</si>
  <si>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</si>
  <si>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</si>
  <si>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</si>
  <si>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</si>
  <si>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</si>
  <si>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</si>
  <si>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</si>
  <si>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</si>
  <si>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</si>
  <si>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</si>
  <si>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</si>
  <si>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</si>
  <si>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</si>
  <si>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</si>
  <si>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</si>
  <si>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</si>
  <si>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</si>
  <si>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</si>
  <si>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</si>
  <si>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</si>
  <si>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</si>
  <si>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</si>
  <si>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</si>
  <si>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</si>
  <si>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</si>
  <si>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</si>
  <si>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</si>
  <si>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</si>
  <si>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</si>
  <si>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</si>
  <si>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</si>
  <si>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</si>
  <si>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</si>
  <si>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</si>
  <si>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</si>
  <si>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</si>
  <si>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</si>
  <si>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</si>
  <si>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</si>
  <si>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</si>
  <si>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</si>
  <si>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</si>
  <si>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</si>
  <si>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</si>
  <si>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</si>
  <si>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</si>
  <si>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</si>
  <si>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</si>
  <si>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</si>
  <si>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</si>
  <si>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</si>
  <si>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</si>
  <si>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</si>
  <si>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</si>
  <si>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</si>
  <si>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</si>
  <si>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</si>
  <si>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</si>
  <si>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</si>
  <si>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</si>
  <si>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</si>
  <si>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</si>
  <si>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</si>
  <si>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</si>
  <si>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</si>
  <si>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</si>
  <si>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</si>
  <si>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</si>
  <si>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</si>
  <si>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</si>
  <si>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</si>
  <si>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</si>
  <si>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</si>
  <si>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</si>
  <si>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</si>
  <si>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</si>
  <si>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</si>
  <si>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</si>
  <si>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</si>
  <si>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</si>
  <si>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</si>
  <si>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</si>
  <si>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</si>
  <si>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</si>
  <si>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</si>
  <si>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</si>
  <si>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</si>
  <si>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</si>
  <si>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</si>
  <si>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</si>
  <si>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</si>
  <si>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</si>
  <si>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</si>
  <si>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</si>
  <si>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</si>
  <si>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</si>
  <si>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</si>
  <si>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</si>
  <si>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</si>
  <si>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</si>
  <si>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</si>
  <si>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</si>
  <si>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</si>
  <si>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</si>
  <si>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</si>
  <si>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</si>
  <si>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</si>
  <si>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</si>
  <si>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</si>
  <si>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</si>
  <si>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</si>
  <si>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</si>
  <si>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</si>
  <si>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</si>
  <si>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</si>
  <si>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</si>
  <si>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</si>
  <si>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</si>
  <si>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</si>
  <si>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</si>
  <si>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</si>
  <si>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</si>
  <si>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</si>
  <si>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</si>
  <si>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</si>
  <si>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</si>
  <si>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</si>
  <si>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</si>
  <si>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</si>
  <si>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</si>
  <si>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</si>
  <si>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</si>
  <si>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</si>
  <si>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</si>
  <si>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</si>
  <si>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</si>
  <si>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</si>
  <si>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</si>
  <si>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</si>
  <si>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</si>
  <si>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</si>
  <si>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</si>
  <si>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</si>
  <si>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</si>
  <si>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</si>
  <si>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</si>
  <si>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</si>
  <si>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</si>
  <si>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</si>
  <si>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</si>
  <si>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</si>
  <si>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</si>
  <si>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</si>
  <si>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</si>
  <si>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</si>
  <si>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</si>
  <si>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</si>
  <si>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</si>
  <si>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</si>
  <si>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</si>
  <si>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</si>
  <si>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</si>
  <si>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</si>
  <si>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</si>
  <si>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</si>
  <si>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</si>
  <si>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</si>
  <si>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</si>
  <si>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</si>
  <si>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</si>
  <si>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</si>
  <si>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</si>
  <si>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</si>
  <si>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</si>
  <si>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</si>
  <si>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</si>
  <si>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</si>
  <si>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</si>
  <si>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</si>
  <si>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</si>
  <si>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</si>
  <si>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</si>
  <si>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</si>
  <si>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</si>
  <si>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</si>
  <si>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</si>
  <si>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</si>
  <si>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</si>
  <si>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</si>
  <si>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</si>
  <si>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</si>
  <si>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</si>
  <si>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</si>
  <si>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</si>
  <si>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</si>
  <si>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</si>
  <si>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</si>
  <si>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</si>
  <si>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</si>
  <si>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</si>
  <si>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</si>
  <si>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</si>
  <si>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</si>
  <si>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</si>
  <si>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</si>
  <si>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</si>
  <si>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</si>
  <si>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</si>
  <si>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</si>
  <si>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</si>
  <si>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</si>
  <si>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</si>
  <si>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</si>
  <si>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</si>
  <si>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</si>
  <si>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</si>
  <si>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</si>
  <si>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</si>
  <si>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</si>
  <si>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</si>
  <si>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</si>
  <si>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</si>
  <si>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</si>
  <si>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</si>
  <si>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</si>
  <si>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</si>
  <si>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</si>
  <si>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</si>
  <si>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</si>
  <si>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</si>
  <si>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</si>
  <si>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</si>
  <si>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</si>
  <si>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</si>
  <si>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</si>
  <si>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</si>
  <si>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</si>
  <si>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</si>
  <si>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</si>
  <si>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</si>
  <si>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</si>
  <si>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</si>
  <si>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</si>
  <si>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</si>
  <si>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</si>
  <si>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</si>
  <si>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</si>
  <si>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</si>
  <si>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</si>
  <si>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</si>
  <si>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</si>
  <si>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</si>
  <si>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</si>
  <si>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</si>
  <si>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</si>
  <si>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</si>
  <si>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</si>
  <si>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</si>
  <si>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</si>
  <si>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</si>
  <si>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</si>
  <si>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</si>
  <si>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</si>
  <si>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</si>
  <si>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</si>
  <si>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</si>
  <si>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</si>
  <si>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</si>
  <si>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</si>
  <si>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</si>
  <si>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</si>
  <si>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</si>
  <si>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</si>
  <si>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</si>
  <si>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</si>
  <si>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</si>
  <si>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</si>
  <si>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</si>
  <si>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</si>
  <si>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</si>
  <si>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</si>
  <si>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</si>
  <si>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</si>
  <si>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</si>
  <si>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</si>
  <si>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</si>
  <si>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</si>
  <si>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</si>
  <si>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</si>
  <si>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</si>
  <si>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</si>
  <si>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</si>
  <si>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</si>
  <si>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</si>
  <si>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</si>
  <si>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</si>
  <si>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</si>
  <si>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</si>
  <si>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</si>
  <si>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</si>
  <si>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</si>
  <si>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</si>
  <si>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</si>
  <si>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</si>
  <si>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</si>
  <si>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</si>
  <si>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</si>
  <si>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</si>
  <si>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</si>
  <si>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</si>
  <si>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</si>
  <si>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</si>
  <si>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</si>
  <si>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</si>
  <si>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</si>
  <si>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</si>
  <si>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</si>
  <si>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</si>
  <si>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</si>
  <si>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</si>
  <si>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</si>
  <si>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</si>
  <si>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</si>
  <si>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</si>
  <si>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</si>
  <si>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</si>
  <si>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</si>
  <si>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</si>
  <si>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</si>
  <si>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</si>
  <si>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</si>
  <si>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</si>
  <si>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</si>
  <si>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</si>
  <si>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</si>
  <si>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</si>
  <si>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</si>
  <si>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</si>
  <si>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</si>
  <si>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</si>
  <si>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</si>
  <si>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</si>
  <si>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</si>
  <si>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</si>
  <si>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</si>
  <si>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</si>
  <si>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</si>
  <si>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</si>
  <si>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</si>
  <si>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</si>
  <si>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</si>
  <si>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</si>
  <si>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</si>
  <si>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中心城区</t>
  </si>
  <si>
    <t>容积率修正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</si>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</sst>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8"/>
      <name val="宋体"/>
      <charset val="134"/>
    </font>
    <font>
      <sz val="10"/>
      <color theme="9" tint="-0.249977111117893"/>
      <name val="宋体"/>
      <charset val="134"/>
    </font>
    <font>
      <b/>
      <sz val="14"/>
      <color rgb="FFFF0000"/>
      <name val="宋体"/>
      <charset val="134"/>
    </font>
    <font>
      <b/>
      <sz val="11"/>
      <color indexed="8"/>
      <name val="宋体"/>
      <charset val="134"/>
    </font>
    <font>
      <b/>
      <sz val="10"/>
      <color indexed="8"/>
      <name val="宋体"/>
      <charset val="134"/>
    </font>
    <font>
      <sz val="14"/>
      <color rgb="FF000000"/>
      <name val="宋体"/>
      <charset val="134"/>
    </font>
    <font>
      <sz val="11"/>
      <color theme="1"/>
      <name val="宋体"/>
      <charset val="134"/>
    </font>
    <font>
      <b/>
      <sz val="11"/>
      <color theme="1"/>
      <name val="宋体"/>
      <charset val="134"/>
    </font>
    <font>
      <b/>
      <sz val="11"/>
      <name val="宋体"/>
      <charset val="134"/>
    </font>
    <font>
      <b/>
      <sz val="14"/>
      <color theme="1"/>
      <name val="宋体"/>
      <charset val="134"/>
    </font>
    <font>
      <sz val="12"/>
      <color theme="9" tint="-0.249977111117893"/>
      <name val="宋体"/>
      <charset val="134"/>
    </font>
    <font>
      <sz val="9"/>
      <color indexed="8"/>
      <name val="仿宋_GB2312"/>
      <charset val="134"/>
    </font>
    <font>
      <b/>
      <sz val="10"/>
      <color indexed="10"/>
      <name val="宋体"/>
      <charset val="134"/>
    </font>
    <font>
      <b/>
      <sz val="12"/>
      <color indexed="8"/>
      <name val="宋体"/>
      <charset val="134"/>
    </font>
    <font>
      <b/>
      <vertAlign val="subscript"/>
      <sz val="10"/>
      <name val="宋体"/>
      <charset val="134"/>
    </font>
    <font>
      <b/>
      <vertAlign val="subscript"/>
      <sz val="10"/>
      <name val="Arial"/>
      <charset val="134"/>
    </font>
    <font>
      <b/>
      <sz val="18"/>
      <color indexed="10"/>
      <name val="΢ȭхڬˎ̥"/>
      <charset val="134"/>
    </font>
    <font>
      <sz val="12"/>
      <color indexed="8"/>
      <name val="宋体"/>
      <charset val="134"/>
    </font>
    <font>
      <b/>
      <sz val="16"/>
      <color indexed="10"/>
      <name val="宋体"/>
      <charset val="134"/>
    </font>
    <font>
      <b/>
      <sz val="11"/>
      <color indexed="10"/>
      <name val="宋体"/>
      <charset val="134"/>
    </font>
    <font>
      <b/>
      <sz val="11"/>
      <color rgb="FFFF0000"/>
      <name val="宋体"/>
      <charset val="134"/>
    </font>
    <font>
      <b/>
      <vertAlign val="subscript"/>
      <sz val="10"/>
      <name val="楷体_GB2312"/>
      <charset val="134"/>
    </font>
    <font>
      <i/>
      <sz val="10"/>
      <name val="楷体_GB2312"/>
      <charset val="134"/>
    </font>
    <font>
      <b/>
      <sz val="18"/>
      <color theme="1"/>
      <name val="宋体"/>
      <charset val="134"/>
    </font>
    <font>
      <sz val="10"/>
      <color rgb="FF707070"/>
      <name val="宋体"/>
      <charset val="134"/>
    </font>
    <font>
      <sz val="14"/>
      <color theme="1"/>
      <name val="宋体"/>
      <charset val="134"/>
    </font>
    <font>
      <vertAlign val="subscript"/>
      <sz val="10"/>
      <color theme="1"/>
      <name val="Arial"/>
      <charset val="134"/>
    </font>
    <font>
      <sz val="12"/>
      <color rgb="FF000000"/>
      <name val="宋体"/>
      <charset val="134"/>
    </font>
    <font>
      <sz val="10"/>
      <color indexed="8"/>
      <name val="楷体_GB2312"/>
      <charset val="134"/>
    </font>
    <font>
      <vertAlign val="subscript"/>
      <sz val="10"/>
      <color indexed="8"/>
      <name val="宋体"/>
      <charset val="134"/>
    </font>
    <font>
      <i/>
      <sz val="10"/>
      <color indexed="8"/>
      <name val="宋体"/>
      <charset val="134"/>
    </font>
    <font>
      <b/>
      <i/>
      <sz val="10"/>
      <color rgb="FFFF0000"/>
      <name val="宋体"/>
      <charset val="134"/>
    </font>
    <font>
      <b/>
      <i/>
      <sz val="14"/>
      <color theme="3" tint="0.399884029663991"/>
      <name val="宋体"/>
      <charset val="134"/>
    </font>
    <font>
      <b/>
      <sz val="10"/>
      <color indexed="10"/>
      <name val="楷体_GB2312"/>
      <charset val="134"/>
    </font>
    <font>
      <b/>
      <i/>
      <sz val="11"/>
      <color theme="3" tint="0.399884029663991"/>
      <name val="宋体"/>
      <charset val="134"/>
    </font>
    <font>
      <vertAlign val="superscript"/>
      <sz val="10"/>
      <color indexed="8"/>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9"/>
      <color indexed="8"/>
      <name val="宋体"/>
      <charset val="134"/>
    </font>
    <font>
      <sz val="12"/>
      <color theme="1"/>
      <name val="宋体"/>
      <charset val="134"/>
    </font>
    <font>
      <b/>
      <sz val="14"/>
      <color rgb="FF000000"/>
      <name val="宋体"/>
      <charset val="134"/>
    </font>
    <font>
      <sz val="8"/>
      <color indexed="8"/>
      <name val="宋体"/>
      <charset val="134"/>
    </font>
    <font>
      <sz val="14"/>
      <color theme="9" tint="-0.249977111117893"/>
      <name val="宋体"/>
      <charset val="134"/>
    </font>
    <font>
      <sz val="10"/>
      <color indexed="10"/>
      <name val="宋体"/>
      <charset val="134"/>
    </font>
    <font>
      <b/>
      <sz val="14"/>
      <color indexed="10"/>
      <name val="宋体"/>
      <charset val="134"/>
      <scheme val="minor"/>
    </font>
    <font>
      <i/>
      <sz val="10"/>
      <name val="宋体"/>
      <charset val="134"/>
    </font>
    <font>
      <sz val="10"/>
      <color rgb="FFFF0000"/>
      <name val="楷体_GB2312"/>
      <charset val="134"/>
    </font>
    <font>
      <vertAlign val="superscript"/>
      <sz val="10"/>
      <color theme="1"/>
      <name val="宋体"/>
      <charset val="134"/>
    </font>
    <font>
      <sz val="10"/>
      <color indexed="53"/>
      <name val="宋体"/>
      <charset val="134"/>
    </font>
    <font>
      <sz val="11"/>
      <color indexed="10"/>
      <name val="宋体"/>
      <charset val="134"/>
    </font>
    <font>
      <sz val="8"/>
      <color indexed="8"/>
      <name val="仿宋_GB2312"/>
      <charset val="134"/>
    </font>
    <font>
      <sz val="11"/>
      <color indexed="53"/>
      <name val="宋体"/>
      <charset val="134"/>
    </font>
    <font>
      <i/>
      <sz val="11"/>
      <color theme="3" tint="0.399884029663991"/>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0"/>
      <color indexed="53"/>
      <name val="宋体"/>
      <charset val="134"/>
    </font>
    <font>
      <i/>
      <sz val="14"/>
      <color theme="3" tint="0.399884029663991"/>
      <name val="宋体"/>
      <charset val="134"/>
    </font>
    <font>
      <b/>
      <sz val="12"/>
      <color rgb="FF000000"/>
      <name val="宋体"/>
      <charset val="134"/>
    </font>
    <font>
      <b/>
      <sz val="16"/>
      <color indexed="10"/>
      <name val="楷体_GB2312"/>
      <charset val="134"/>
    </font>
    <font>
      <sz val="11"/>
      <name val="宋体"/>
      <charset val="134"/>
    </font>
    <font>
      <sz val="10"/>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估价对象为北京市房地产，为所有。根据《国有土地使用证》[]，估价对象（分摊）出让国有建设用地使用权面积为0平方米，建筑面积为1144.97平方米。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估价对象为北京市房地产,属开发建设的，该项目尚在开发建设中。根据《国有土地使用证》[]，估价对象（分摊）出让国有建设用地使用权面积为0平方米，规划建筑面积为1144.97平方米。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本次评估采用的主估价方法为成本法和收益法。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1120</v>
      </c>
    </row>
    <row r="21" spans="1:2">
      <c r="A21" s="3390" t="s">
        <v>21</v>
      </c>
      <c r="B21" s="3391">
        <f ca="1">'预评函-2'!D7</f>
        <v>9783</v>
      </c>
    </row>
    <row r="22" spans="1:2">
      <c r="A22" s="3390" t="s">
        <v>22</v>
      </c>
      <c r="B22" s="3391" t="str">
        <f ca="1">'预评函-2'!D6</f>
        <v>壹仟壹佰贰拾万元整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1120</v>
      </c>
    </row>
    <row r="31" spans="1:2">
      <c r="A31" s="3390" t="s">
        <v>31</v>
      </c>
      <c r="B31" s="3391">
        <f ca="1">'预评函-2'!D15</f>
        <v>9783</v>
      </c>
    </row>
    <row r="32" spans="1:2">
      <c r="A32" s="3390" t="s">
        <v>32</v>
      </c>
      <c r="B32" s="3391" t="str">
        <f ca="1">'预评函-2'!D14</f>
        <v>壹仟壹佰贰拾万元整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413</v>
      </c>
    </row>
    <row r="39" spans="1:2">
      <c r="A39" s="3390" t="s">
        <v>39</v>
      </c>
      <c r="B39" s="3391">
        <f ca="1">'预评函-2'!D21</f>
        <v>3607</v>
      </c>
    </row>
    <row r="40" spans="1:2">
      <c r="A40" s="3390" t="s">
        <v>40</v>
      </c>
      <c r="B40" s="3391" t="str">
        <f ca="1">'预评函-2'!D20</f>
        <v>肆佰壹拾叁万元整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1144.97</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workbookViewId="0">
      <selection activeCell="L9" sqref="L9"/>
    </sheetView>
  </sheetViews>
  <sheetFormatPr defaultColWidth="8.75454545454545" defaultRowHeight="14"/>
  <cols>
    <col min="1" max="1" width="39.5" customWidth="1"/>
    <col min="5" max="5" width="14"/>
    <col min="12" max="12" width="12.8181818181818"/>
  </cols>
  <sheetData>
    <row r="1" spans="1:10">
      <c r="A1" t="s">
        <v>443</v>
      </c>
      <c r="J1">
        <v>129.15</v>
      </c>
    </row>
    <row r="2" spans="1:10">
      <c r="A2" t="s">
        <v>444</v>
      </c>
      <c r="J2">
        <v>55.07</v>
      </c>
    </row>
    <row r="3" spans="1:10">
      <c r="A3" t="s">
        <v>445</v>
      </c>
      <c r="J3">
        <v>207.17</v>
      </c>
    </row>
    <row r="4" spans="1:10">
      <c r="A4" t="s">
        <v>446</v>
      </c>
      <c r="J4">
        <v>134.31</v>
      </c>
    </row>
    <row r="5" spans="10:10">
      <c r="J5">
        <v>423.69</v>
      </c>
    </row>
    <row r="6" spans="1:10">
      <c r="A6" t="s">
        <v>447</v>
      </c>
      <c r="J6">
        <v>195.58</v>
      </c>
    </row>
    <row r="7" spans="1:12">
      <c r="A7" t="s">
        <v>448</v>
      </c>
      <c r="J7">
        <f>SUM(J1:J6)</f>
        <v>1144.97</v>
      </c>
      <c r="L7" t="s">
        <v>449</v>
      </c>
    </row>
    <row r="8" spans="12:12">
      <c r="L8">
        <f>500000/365/J7</f>
        <v>1.19641825873047</v>
      </c>
    </row>
    <row r="10" ht="15" spans="1:7">
      <c r="A10" s="3195"/>
      <c r="B10" s="3195"/>
      <c r="C10" s="3195"/>
      <c r="D10" s="3195"/>
      <c r="E10" s="3195"/>
      <c r="F10" s="3195"/>
      <c r="G10" s="3195"/>
    </row>
    <row r="11" ht="15" spans="1:7">
      <c r="A11" s="3195"/>
      <c r="B11" s="3195"/>
      <c r="C11" s="3195"/>
      <c r="D11" s="3195"/>
      <c r="E11" s="3195"/>
      <c r="F11" s="3196"/>
      <c r="G11" s="3195"/>
    </row>
    <row r="12" ht="15" spans="1:7">
      <c r="A12" s="3195"/>
      <c r="B12" s="3195"/>
      <c r="C12" s="3195"/>
      <c r="D12" s="3195"/>
      <c r="E12" s="3195"/>
      <c r="F12" s="3196"/>
      <c r="G12" s="3195"/>
    </row>
    <row r="13" ht="15" spans="1:7">
      <c r="A13" s="3195"/>
      <c r="B13" s="3195"/>
      <c r="C13" s="3195"/>
      <c r="D13" s="3195"/>
      <c r="E13" s="3195"/>
      <c r="F13" s="3196"/>
      <c r="G13" s="3195"/>
    </row>
    <row r="14" ht="15" spans="1:7">
      <c r="A14" s="3195"/>
      <c r="B14" s="3195"/>
      <c r="C14" s="3195"/>
      <c r="D14" s="3195"/>
      <c r="E14" s="3195"/>
      <c r="F14" s="3196"/>
      <c r="G14" s="3195"/>
    </row>
    <row r="15" ht="15" spans="1:7">
      <c r="A15" s="3195"/>
      <c r="B15" s="3195"/>
      <c r="C15" s="3195"/>
      <c r="D15" s="3195"/>
      <c r="E15" s="3195"/>
      <c r="F15" s="3196"/>
      <c r="G15" s="3195"/>
    </row>
    <row r="16" ht="15" spans="1:7">
      <c r="A16" s="3195"/>
      <c r="B16" s="3195"/>
      <c r="C16" s="3195"/>
      <c r="D16" s="3195"/>
      <c r="E16" s="3195"/>
      <c r="F16" s="3196"/>
      <c r="G16" s="3195"/>
    </row>
    <row r="17" ht="15" spans="1:7">
      <c r="A17" s="3195"/>
      <c r="B17" s="3195"/>
      <c r="C17" s="3195"/>
      <c r="D17" s="3195"/>
      <c r="E17" s="3195"/>
      <c r="F17" s="3196"/>
      <c r="G17" s="3195"/>
    </row>
    <row r="18" ht="15" spans="1:7">
      <c r="A18" s="3195"/>
      <c r="B18" s="3195"/>
      <c r="C18" s="3195"/>
      <c r="D18" s="3195"/>
      <c r="E18" s="3195"/>
      <c r="F18" s="3196"/>
      <c r="G18" s="3195"/>
    </row>
    <row r="19" ht="15" spans="1:7">
      <c r="A19" s="3195"/>
      <c r="B19" s="3195"/>
      <c r="C19" s="3195"/>
      <c r="D19" s="3195"/>
      <c r="E19" s="3195"/>
      <c r="F19" s="3195"/>
      <c r="G19" s="3195"/>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G41" sqref="G41"/>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450</v>
      </c>
      <c r="B1" s="3057" t="str">
        <f>IF(B10="北京市","北京市",C10)&amp;F10&amp;IF(结果表!G1="在建","出让国有建设用地使用权及在建建筑物",IF(结果表!G1="土地","出让国有建设用地使用权",))&amp;B9&amp;"预评估"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ht="13" spans="1:28">
      <c r="A2" s="3059" t="s">
        <v>451</v>
      </c>
      <c r="B2" s="728"/>
      <c r="D2" s="3060"/>
      <c r="E2" s="3061"/>
      <c r="F2" s="3061"/>
      <c r="G2" s="2826"/>
      <c r="H2" s="2826"/>
      <c r="I2" s="2826"/>
      <c r="J2" s="2689"/>
      <c r="K2" s="3158"/>
      <c r="L2" s="3169"/>
      <c r="M2" s="3169"/>
      <c r="N2" s="3059"/>
      <c r="O2" s="887"/>
      <c r="P2" s="3059"/>
      <c r="Q2" s="3059"/>
      <c r="R2" s="3059"/>
      <c r="S2" s="731"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ht="13" spans="1:28">
      <c r="A3" s="375" t="s">
        <v>452</v>
      </c>
      <c r="B3" s="3062">
        <f>D3</f>
        <v>45608</v>
      </c>
      <c r="C3" s="3063" t="s">
        <v>453</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454</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455</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456</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457</v>
      </c>
      <c r="B7" s="3074"/>
      <c r="C7" s="3072"/>
      <c r="D7" s="3073"/>
      <c r="E7" s="3061"/>
      <c r="F7" s="2826"/>
      <c r="G7" s="2826"/>
      <c r="H7" s="2826"/>
      <c r="I7" s="2826"/>
      <c r="J7" s="2689"/>
      <c r="K7" s="3172"/>
      <c r="L7" s="3171"/>
      <c r="M7" s="3171"/>
      <c r="N7" s="2689"/>
      <c r="O7" s="888"/>
      <c r="P7" s="2689"/>
      <c r="Q7" s="2689"/>
      <c r="R7" s="2689"/>
    </row>
    <row r="8" ht="13" spans="1:18">
      <c r="A8" s="3075" t="s">
        <v>458</v>
      </c>
      <c r="B8" s="3076" t="s">
        <v>343</v>
      </c>
      <c r="C8" s="3077"/>
      <c r="D8" s="3078" t="s">
        <v>459</v>
      </c>
      <c r="E8" s="3079" t="s">
        <v>348</v>
      </c>
      <c r="F8" s="3080"/>
      <c r="G8" s="2826"/>
      <c r="H8" s="2826"/>
      <c r="I8" s="2826"/>
      <c r="J8" s="2689"/>
      <c r="K8" s="3173"/>
      <c r="L8" s="3171"/>
      <c r="M8" s="3171"/>
      <c r="N8" s="2689"/>
      <c r="O8" s="888"/>
      <c r="P8" s="2689"/>
      <c r="Q8" s="2689"/>
      <c r="R8" s="2689"/>
    </row>
    <row r="9" ht="13.75" spans="1:18">
      <c r="A9" s="3081" t="s">
        <v>460</v>
      </c>
      <c r="B9" s="3082" t="s">
        <v>348</v>
      </c>
      <c r="C9" s="3083"/>
      <c r="D9" s="3084"/>
      <c r="E9" s="3082" t="s">
        <v>354</v>
      </c>
      <c r="F9" s="3085"/>
      <c r="G9" s="3086"/>
      <c r="H9" s="3086"/>
      <c r="I9" s="3086"/>
      <c r="J9" s="2689"/>
      <c r="K9" s="3172"/>
      <c r="L9" s="3171"/>
      <c r="M9" s="3171"/>
      <c r="N9" s="2689"/>
      <c r="O9" s="888"/>
      <c r="P9" s="2689"/>
      <c r="Q9" s="2689"/>
      <c r="R9" s="2689"/>
    </row>
    <row r="10" ht="13.75" spans="1:18">
      <c r="A10" s="3087" t="s">
        <v>461</v>
      </c>
      <c r="B10" s="3088" t="s">
        <v>462</v>
      </c>
      <c r="C10" s="3089"/>
      <c r="D10" s="3069"/>
      <c r="E10" s="3090" t="s">
        <v>463</v>
      </c>
      <c r="F10" s="3091"/>
      <c r="G10" s="3092"/>
      <c r="H10" s="3093"/>
      <c r="I10" s="3174"/>
      <c r="J10" s="2689"/>
      <c r="K10" s="3172"/>
      <c r="L10" s="3171"/>
      <c r="M10" s="3171"/>
      <c r="N10" s="2689"/>
      <c r="O10" s="888"/>
      <c r="P10" s="2689"/>
      <c r="Q10" s="2689"/>
      <c r="R10" s="2689"/>
    </row>
    <row r="11" ht="13" spans="1:18">
      <c r="A11" s="3094" t="s">
        <v>464</v>
      </c>
      <c r="B11" s="3095" t="s">
        <v>465</v>
      </c>
      <c r="C11" s="3096"/>
      <c r="D11" s="3097"/>
      <c r="E11" s="3059"/>
      <c r="F11" s="3059"/>
      <c r="G11" s="3059"/>
      <c r="H11" s="3059"/>
      <c r="I11" s="3059"/>
      <c r="J11" s="3175"/>
      <c r="K11" s="3171"/>
      <c r="L11" s="3171"/>
      <c r="M11" s="3171"/>
      <c r="N11" s="2689"/>
      <c r="O11" s="888"/>
      <c r="P11" s="2689"/>
      <c r="Q11" s="2689"/>
      <c r="R11" s="2689"/>
    </row>
    <row r="12" ht="13" spans="1:30">
      <c r="A12" s="3098" t="s">
        <v>466</v>
      </c>
      <c r="B12" s="422" t="s">
        <v>467</v>
      </c>
      <c r="C12" s="3099" t="s">
        <v>468</v>
      </c>
      <c r="D12" s="3099" t="s">
        <v>469</v>
      </c>
      <c r="E12" s="3099" t="s">
        <v>470</v>
      </c>
      <c r="F12" s="3099" t="s">
        <v>471</v>
      </c>
      <c r="G12" s="3099" t="s">
        <v>472</v>
      </c>
      <c r="H12" s="3099" t="s">
        <v>473</v>
      </c>
      <c r="I12" s="3159" t="s">
        <v>280</v>
      </c>
      <c r="J12" s="3176"/>
      <c r="K12" s="3171"/>
      <c r="L12" s="3171"/>
      <c r="M12" s="2689"/>
      <c r="N12" s="888"/>
      <c r="O12" s="2689"/>
      <c r="P12" s="2689"/>
      <c r="Q12" s="2689"/>
      <c r="AD12" s="2728"/>
    </row>
    <row r="13" ht="13" spans="1:30">
      <c r="A13" s="3100" t="s">
        <v>474</v>
      </c>
      <c r="B13" s="3101" t="s">
        <v>475</v>
      </c>
      <c r="C13" s="3102"/>
      <c r="D13" s="3102">
        <v>53350</v>
      </c>
      <c r="E13" s="3103"/>
      <c r="F13" s="3102"/>
      <c r="G13" s="3102"/>
      <c r="H13" s="3102"/>
      <c r="I13" s="3102"/>
      <c r="J13" s="3176"/>
      <c r="K13" s="3171"/>
      <c r="L13" s="3171"/>
      <c r="M13" s="2689"/>
      <c r="N13" s="888"/>
      <c r="O13" s="2689"/>
      <c r="P13" s="2689"/>
      <c r="Q13" s="2689"/>
      <c r="AD13" s="2728"/>
    </row>
    <row r="14" ht="13" spans="1:30">
      <c r="A14" s="406"/>
      <c r="B14" s="3101" t="s">
        <v>476</v>
      </c>
      <c r="C14" s="3104"/>
      <c r="D14" s="3104">
        <v>40</v>
      </c>
      <c r="E14" s="3104"/>
      <c r="F14" s="3104"/>
      <c r="G14" s="3104"/>
      <c r="H14" s="3104"/>
      <c r="I14" s="3104"/>
      <c r="J14" s="3177"/>
      <c r="K14" s="3171"/>
      <c r="L14" s="3171"/>
      <c r="M14" s="2689"/>
      <c r="N14" s="888"/>
      <c r="O14" s="2689"/>
      <c r="P14" s="2689"/>
      <c r="Q14" s="2689"/>
      <c r="AD14" s="2728"/>
    </row>
    <row r="15" ht="13" spans="1:30">
      <c r="A15" s="414"/>
      <c r="B15" s="3105" t="s">
        <v>477</v>
      </c>
      <c r="C15" s="3106" t="str">
        <f>IF(A13="出让",IF(C13="","",ROUNDDOWN(MIN((C13-$D$3)/365,C14),2)),C14)</f>
        <v/>
      </c>
      <c r="D15" s="3106">
        <f>IF(A13="出让",IF(D13="","",ROUNDDOWN(MIN((D13-$D$3)/365,D14),2)),D14)</f>
        <v>21.21</v>
      </c>
      <c r="E15" s="3106" t="str">
        <f>IF(A13="出让",IF(E13="","",ROUNDDOWN(MIN((E13-$D$3)/365,E14),2)),E14)</f>
        <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478</v>
      </c>
      <c r="B16" s="3107"/>
      <c r="C16" s="3108"/>
      <c r="D16" s="3109"/>
      <c r="E16" s="3110" t="s">
        <v>479</v>
      </c>
      <c r="F16" s="3111"/>
      <c r="G16" s="3112"/>
      <c r="H16" s="3112"/>
      <c r="I16" s="3179"/>
      <c r="J16" s="2689"/>
      <c r="K16" s="3180"/>
      <c r="L16" s="888"/>
      <c r="M16" s="888"/>
      <c r="N16" s="2689"/>
      <c r="O16" s="888"/>
      <c r="P16" s="2689"/>
      <c r="Q16" s="2689"/>
      <c r="R16" s="2689"/>
    </row>
    <row r="17" ht="13" spans="1:22">
      <c r="A17" s="389" t="s">
        <v>480</v>
      </c>
      <c r="B17" s="375" t="s">
        <v>481</v>
      </c>
      <c r="C17" s="1619">
        <f>'数据-汇总表'!E3</f>
        <v>1144.97</v>
      </c>
      <c r="D17" s="435" t="s">
        <v>482</v>
      </c>
      <c r="E17" s="3113" t="s">
        <v>483</v>
      </c>
      <c r="F17" s="3114"/>
      <c r="G17" s="3114"/>
      <c r="H17" s="3114"/>
      <c r="I17" s="3181"/>
      <c r="J17" s="2689"/>
      <c r="K17" s="3182"/>
      <c r="L17" s="888"/>
      <c r="M17" s="888"/>
      <c r="N17" s="2689"/>
      <c r="O17" s="888"/>
      <c r="P17" s="2689"/>
      <c r="Q17" s="2689"/>
      <c r="R17" s="2689"/>
      <c r="S17" s="2689"/>
      <c r="T17" s="2689"/>
      <c r="U17" s="2689"/>
      <c r="V17" s="2689"/>
    </row>
    <row r="18" ht="26.75" spans="1:22">
      <c r="A18" s="3115" t="s">
        <v>484</v>
      </c>
      <c r="B18" s="401" t="s">
        <v>485</v>
      </c>
      <c r="C18" s="3116">
        <f>'数据-汇总表'!D3</f>
        <v>0</v>
      </c>
      <c r="D18" s="428" t="s">
        <v>482</v>
      </c>
      <c r="E18" s="3117" t="s">
        <v>486</v>
      </c>
      <c r="F18" s="3118"/>
      <c r="G18" s="3118"/>
      <c r="H18" s="3118"/>
      <c r="I18" s="3183"/>
      <c r="J18" s="2689"/>
      <c r="K18" s="3182"/>
      <c r="L18" s="888"/>
      <c r="M18" s="888"/>
      <c r="N18" s="2689"/>
      <c r="O18" s="888"/>
      <c r="P18" s="2689"/>
      <c r="Q18" s="2689"/>
      <c r="R18" s="2689"/>
      <c r="S18" s="2689"/>
      <c r="T18" s="2689"/>
      <c r="U18" s="2689"/>
      <c r="V18" s="2689"/>
    </row>
    <row r="19" ht="40.5" spans="1:22">
      <c r="A19" s="445" t="s">
        <v>487</v>
      </c>
      <c r="B19" s="380" t="s">
        <v>488</v>
      </c>
      <c r="C19" s="3119"/>
      <c r="D19" s="3120" t="s">
        <v>489</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490</v>
      </c>
      <c r="B20" s="3125" t="s">
        <v>491</v>
      </c>
      <c r="C20" s="3126"/>
      <c r="D20" s="3127" t="s">
        <v>492</v>
      </c>
      <c r="E20" s="3128"/>
      <c r="F20" s="3129" t="s">
        <v>493</v>
      </c>
      <c r="G20" s="2826"/>
      <c r="H20" s="2826"/>
      <c r="I20" s="2826"/>
      <c r="J20" s="2689"/>
      <c r="K20" s="2987" t="s">
        <v>494</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495</v>
      </c>
      <c r="C21" s="2715" t="s">
        <v>496</v>
      </c>
      <c r="D21" s="3131" t="s">
        <v>497</v>
      </c>
      <c r="E21" s="3132" t="s">
        <v>496</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498</v>
      </c>
      <c r="C22" s="2715" t="s">
        <v>499</v>
      </c>
      <c r="D22" s="2826"/>
      <c r="E22" s="2826"/>
      <c r="F22" s="2826"/>
      <c r="G22" s="2826"/>
      <c r="H22" s="2826"/>
      <c r="I22" s="2826"/>
      <c r="J22" s="2689"/>
      <c r="K22" s="2987"/>
      <c r="L22" s="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500</v>
      </c>
      <c r="B23" s="2712" t="s">
        <v>501</v>
      </c>
      <c r="C23" s="3136"/>
      <c r="D23" s="3137" t="s">
        <v>501</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502</v>
      </c>
      <c r="C24" s="2688"/>
      <c r="D24" s="3135" t="s">
        <v>502</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503</v>
      </c>
      <c r="C25" s="2688"/>
      <c r="D25" s="3135" t="s">
        <v>503</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504</v>
      </c>
      <c r="C26" s="3142"/>
      <c r="D26" s="3140" t="s">
        <v>504</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505</v>
      </c>
      <c r="B27" s="414" t="s">
        <v>506</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507</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508</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509</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510</v>
      </c>
      <c r="B31" s="3153" t="s">
        <v>511</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512</v>
      </c>
      <c r="B34" s="1219"/>
      <c r="C34" s="1219"/>
      <c r="D34" s="1219"/>
      <c r="E34" s="1219"/>
      <c r="F34" s="1219"/>
      <c r="G34" s="1219"/>
      <c r="H34" s="1219"/>
      <c r="I34" s="2826"/>
      <c r="J34" s="2689"/>
      <c r="K34" s="1619">
        <f>COUNTIF(B34:H34,"——")</f>
        <v>0</v>
      </c>
      <c r="L34" s="422" t="s">
        <v>513</v>
      </c>
      <c r="M34" s="422" t="s">
        <v>514</v>
      </c>
      <c r="N34" s="422" t="s">
        <v>515</v>
      </c>
      <c r="O34" s="422" t="s">
        <v>516</v>
      </c>
      <c r="P34" s="422" t="s">
        <v>517</v>
      </c>
      <c r="Q34" s="422" t="s">
        <v>518</v>
      </c>
      <c r="R34" s="422" t="s">
        <v>519</v>
      </c>
      <c r="S34" s="1619" t="s">
        <v>520</v>
      </c>
      <c r="T34" s="422" t="str">
        <f>NUMBERSTRING(7-K34,1)&amp;"通"</f>
        <v>七通</v>
      </c>
      <c r="U34" s="2689"/>
      <c r="V34" s="2689"/>
    </row>
    <row r="35" spans="1:22">
      <c r="A35" s="3157"/>
      <c r="B35" s="1619" t="s">
        <v>521</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469</v>
      </c>
      <c r="C36" s="1619" t="s">
        <v>470</v>
      </c>
      <c r="D36" s="1619" t="s">
        <v>468</v>
      </c>
      <c r="E36" s="1619" t="s">
        <v>473</v>
      </c>
      <c r="F36" s="3159" t="s">
        <v>280</v>
      </c>
      <c r="G36" s="2826"/>
      <c r="H36" s="2826"/>
      <c r="I36" s="2826"/>
      <c r="J36" s="2689"/>
      <c r="K36" s="3172"/>
      <c r="L36" s="3171"/>
      <c r="M36" s="3171"/>
      <c r="N36" s="2689"/>
      <c r="O36" s="888"/>
      <c r="P36" s="2689"/>
      <c r="Q36" s="2689"/>
      <c r="R36" s="2689"/>
      <c r="S36" s="2689"/>
      <c r="T36" s="2689"/>
      <c r="U36" s="2689"/>
      <c r="V36" s="2689"/>
    </row>
    <row r="37" ht="13" spans="1:22">
      <c r="A37" s="3160" t="s">
        <v>522</v>
      </c>
      <c r="B37" s="3161" t="s">
        <v>284</v>
      </c>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523</v>
      </c>
      <c r="B38" s="3163" t="s">
        <v>524</v>
      </c>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525</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526</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527</v>
      </c>
      <c r="B42" s="1619" t="s">
        <v>528</v>
      </c>
      <c r="C42" s="1619" t="s">
        <v>529</v>
      </c>
      <c r="D42" s="1619" t="s">
        <v>530</v>
      </c>
      <c r="E42" s="1619" t="s">
        <v>531</v>
      </c>
      <c r="F42" s="1619" t="s">
        <v>532</v>
      </c>
      <c r="G42" s="1619" t="s">
        <v>533</v>
      </c>
      <c r="H42" s="1619" t="s">
        <v>534</v>
      </c>
      <c r="I42" s="1619" t="s">
        <v>535</v>
      </c>
      <c r="J42" s="3187" t="s">
        <v>536</v>
      </c>
      <c r="K42" s="3188" t="s">
        <v>537</v>
      </c>
      <c r="L42" s="3188" t="s">
        <v>538</v>
      </c>
      <c r="M42" s="3188" t="s">
        <v>539</v>
      </c>
      <c r="N42" s="3189" t="s">
        <v>540</v>
      </c>
      <c r="O42" s="3189" t="s">
        <v>541</v>
      </c>
      <c r="P42" s="3189" t="s">
        <v>542</v>
      </c>
      <c r="Q42" s="3194" t="s">
        <v>543</v>
      </c>
      <c r="R42" s="3194" t="s">
        <v>544</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545</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546</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485</v>
      </c>
      <c r="B2" s="1619" t="s">
        <v>481</v>
      </c>
      <c r="C2" s="1619" t="s">
        <v>547</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548</v>
      </c>
      <c r="AZ2" s="3033" t="s">
        <v>549</v>
      </c>
      <c r="BA2" s="1619" t="s">
        <v>550</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1144.97</v>
      </c>
      <c r="C3" s="2980" t="s">
        <v>551</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552</v>
      </c>
      <c r="B5" s="743"/>
      <c r="C5" s="743"/>
      <c r="D5" s="904"/>
      <c r="E5" s="2983" t="s">
        <v>124</v>
      </c>
      <c r="F5" s="2983">
        <f>SUM(F13:F587)</f>
        <v>0</v>
      </c>
      <c r="G5" s="2983">
        <f>SUM(G13:G587)</f>
        <v>1144.97</v>
      </c>
      <c r="H5" s="2983">
        <f t="shared" ref="H5:AT5" si="0">SUM(H13:H656)</f>
        <v>1144.97</v>
      </c>
      <c r="I5" s="2983">
        <f t="shared" si="0"/>
        <v>1144.97</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552</v>
      </c>
      <c r="AW5" s="743"/>
      <c r="AX5" s="743"/>
      <c r="AY5" s="1577" t="s">
        <v>124</v>
      </c>
      <c r="AZ5" s="3036">
        <f t="shared" ref="AZ5:BT5" si="1">SUM(AZ13:AZ656)</f>
        <v>1144.97</v>
      </c>
      <c r="BA5" s="3036">
        <f t="shared" si="1"/>
        <v>1144.97</v>
      </c>
      <c r="BB5" s="3036">
        <f t="shared" si="1"/>
        <v>1144.97</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553</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553</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554</v>
      </c>
      <c r="B7" s="2987" t="s">
        <v>555</v>
      </c>
      <c r="C7" s="2987" t="s">
        <v>528</v>
      </c>
      <c r="D7" s="2987" t="s">
        <v>556</v>
      </c>
      <c r="E7" s="2987" t="s">
        <v>553</v>
      </c>
      <c r="F7" s="2987" t="s">
        <v>557</v>
      </c>
      <c r="G7" s="861" t="s">
        <v>558</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559</v>
      </c>
      <c r="AV7" s="3026" t="s">
        <v>554</v>
      </c>
      <c r="AW7" s="887" t="s">
        <v>555</v>
      </c>
      <c r="AX7" s="3026" t="s">
        <v>528</v>
      </c>
      <c r="AY7" s="743" t="s">
        <v>560</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561</v>
      </c>
      <c r="H8" s="2991" t="s">
        <v>562</v>
      </c>
      <c r="I8" s="3006"/>
      <c r="J8" s="421"/>
      <c r="K8" s="421"/>
      <c r="L8" s="421"/>
      <c r="M8" s="421"/>
      <c r="N8" s="421"/>
      <c r="O8" s="421"/>
      <c r="P8" s="421"/>
      <c r="Q8" s="421"/>
      <c r="R8" s="421"/>
      <c r="S8" s="421"/>
      <c r="T8" s="421"/>
      <c r="U8" s="421"/>
      <c r="V8" s="3013"/>
      <c r="W8" s="421"/>
      <c r="X8" s="421"/>
      <c r="Y8" s="421"/>
      <c r="Z8" s="421"/>
      <c r="AA8" s="3013"/>
      <c r="AB8" s="3015"/>
      <c r="AC8" s="926" t="s">
        <v>563</v>
      </c>
      <c r="AD8" s="3016"/>
      <c r="AE8" s="3017"/>
      <c r="AF8" s="421"/>
      <c r="AG8" s="421"/>
      <c r="AH8" s="421"/>
      <c r="AI8" s="421"/>
      <c r="AJ8" s="421"/>
      <c r="AK8" s="421"/>
      <c r="AL8" s="421"/>
      <c r="AM8" s="421"/>
      <c r="AN8" s="421"/>
      <c r="AO8" s="421"/>
      <c r="AP8" s="421"/>
      <c r="AQ8" s="421"/>
      <c r="AR8" s="421"/>
      <c r="AS8" s="421"/>
      <c r="AT8" s="367" t="s">
        <v>564</v>
      </c>
      <c r="AU8" s="2989" t="s">
        <v>565</v>
      </c>
      <c r="AV8" s="367"/>
      <c r="AW8" s="836"/>
      <c r="AX8" s="367"/>
      <c r="AY8" s="887" t="s">
        <v>553</v>
      </c>
      <c r="AZ8" s="477" t="s">
        <v>481</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566</v>
      </c>
      <c r="I9" s="3007" t="s">
        <v>567</v>
      </c>
      <c r="J9" s="926"/>
      <c r="K9" s="3007"/>
      <c r="L9" s="926"/>
      <c r="M9" s="3007"/>
      <c r="N9" s="926"/>
      <c r="O9" s="3007"/>
      <c r="P9" s="926"/>
      <c r="Q9" s="3007"/>
      <c r="R9" s="926"/>
      <c r="S9" s="3007"/>
      <c r="T9" s="926"/>
      <c r="U9" s="3007"/>
      <c r="V9" s="926"/>
      <c r="W9" s="3007"/>
      <c r="X9" s="3014"/>
      <c r="Y9" s="3007"/>
      <c r="Z9" s="926"/>
      <c r="AA9" s="3007"/>
      <c r="AB9" s="926"/>
      <c r="AC9" s="2990" t="s">
        <v>566</v>
      </c>
      <c r="AD9" s="536" t="s">
        <v>568</v>
      </c>
      <c r="AE9" s="381"/>
      <c r="AF9" s="536" t="s">
        <v>569</v>
      </c>
      <c r="AG9" s="381"/>
      <c r="AH9" s="536" t="s">
        <v>568</v>
      </c>
      <c r="AI9" s="381"/>
      <c r="AJ9" s="536" t="s">
        <v>569</v>
      </c>
      <c r="AK9" s="381"/>
      <c r="AL9" s="536" t="s">
        <v>568</v>
      </c>
      <c r="AM9" s="381"/>
      <c r="AN9" s="536" t="s">
        <v>569</v>
      </c>
      <c r="AO9" s="381"/>
      <c r="AP9" s="536" t="s">
        <v>568</v>
      </c>
      <c r="AQ9" s="381"/>
      <c r="AR9" s="536" t="s">
        <v>569</v>
      </c>
      <c r="AS9" s="3027"/>
      <c r="AT9" s="2989"/>
      <c r="AU9" s="2989" t="s">
        <v>570</v>
      </c>
      <c r="AV9" s="367"/>
      <c r="AW9" s="836"/>
      <c r="AX9" s="367"/>
      <c r="AY9" s="2993"/>
      <c r="AZ9" s="2993" t="s">
        <v>561</v>
      </c>
      <c r="BA9" s="3038" t="s">
        <v>571</v>
      </c>
      <c r="BB9" s="3039"/>
      <c r="BC9" s="432"/>
      <c r="BD9" s="432"/>
      <c r="BE9" s="432"/>
      <c r="BF9" s="432"/>
      <c r="BG9" s="432"/>
      <c r="BH9" s="432"/>
      <c r="BI9" s="432"/>
      <c r="BJ9" s="432"/>
      <c r="BK9" s="3043"/>
      <c r="BL9" s="536" t="s">
        <v>572</v>
      </c>
      <c r="BM9" s="421"/>
      <c r="BN9" s="3006"/>
      <c r="BO9" s="421"/>
      <c r="BP9" s="421"/>
      <c r="BQ9" s="421"/>
      <c r="BR9" s="421"/>
      <c r="BS9" s="421"/>
      <c r="BT9" s="419"/>
    </row>
    <row r="10" s="2730" customFormat="1" ht="13" spans="1:72">
      <c r="A10" s="2989"/>
      <c r="B10" s="2989"/>
      <c r="C10" s="2989"/>
      <c r="D10" s="2989"/>
      <c r="E10" s="2989"/>
      <c r="F10" s="2989"/>
      <c r="G10" s="367"/>
      <c r="H10" s="2993"/>
      <c r="I10" s="3007" t="s">
        <v>573</v>
      </c>
      <c r="J10" s="926"/>
      <c r="K10" s="3008"/>
      <c r="L10" s="926"/>
      <c r="M10" s="3008"/>
      <c r="N10" s="926"/>
      <c r="O10" s="3008"/>
      <c r="P10" s="926"/>
      <c r="Q10" s="3008"/>
      <c r="R10" s="926"/>
      <c r="S10" s="3008"/>
      <c r="T10" s="926"/>
      <c r="U10" s="3008"/>
      <c r="V10" s="926"/>
      <c r="W10" s="3008"/>
      <c r="X10" s="926"/>
      <c r="Y10" s="3008"/>
      <c r="Z10" s="926"/>
      <c r="AA10" s="3008"/>
      <c r="AB10" s="926"/>
      <c r="AC10" s="367"/>
      <c r="AD10" s="536" t="s">
        <v>574</v>
      </c>
      <c r="AE10" s="3018"/>
      <c r="AF10" s="536" t="s">
        <v>574</v>
      </c>
      <c r="AG10" s="3018"/>
      <c r="AH10" s="536" t="s">
        <v>575</v>
      </c>
      <c r="AI10" s="3018"/>
      <c r="AJ10" s="536" t="s">
        <v>575</v>
      </c>
      <c r="AK10" s="3018"/>
      <c r="AL10" s="536" t="s">
        <v>576</v>
      </c>
      <c r="AM10" s="381"/>
      <c r="AN10" s="536" t="s">
        <v>576</v>
      </c>
      <c r="AO10" s="381"/>
      <c r="AP10" s="536" t="s">
        <v>577</v>
      </c>
      <c r="AQ10" s="381"/>
      <c r="AR10" s="536" t="s">
        <v>577</v>
      </c>
      <c r="AS10" s="381"/>
      <c r="AT10" s="2989"/>
      <c r="AU10" s="2989"/>
      <c r="AV10" s="367"/>
      <c r="AW10" s="836"/>
      <c r="AX10" s="367"/>
      <c r="AY10" s="2993"/>
      <c r="AZ10" s="2993"/>
      <c r="BA10" s="2994" t="s">
        <v>566</v>
      </c>
      <c r="BB10" s="3040" t="str">
        <f>I9</f>
        <v>地上</v>
      </c>
      <c r="BC10" s="444">
        <f>K9</f>
        <v>0</v>
      </c>
      <c r="BD10" s="444">
        <f>M9</f>
        <v>0</v>
      </c>
      <c r="BE10" s="444">
        <f>O9</f>
        <v>0</v>
      </c>
      <c r="BF10" s="444">
        <f>Q9</f>
        <v>0</v>
      </c>
      <c r="BG10" s="444">
        <f>S9</f>
        <v>0</v>
      </c>
      <c r="BH10" s="444">
        <f>U9</f>
        <v>0</v>
      </c>
      <c r="BI10" s="444">
        <f>W9</f>
        <v>0</v>
      </c>
      <c r="BJ10" s="444">
        <f>Y9</f>
        <v>0</v>
      </c>
      <c r="BK10" s="444">
        <f>AA9</f>
        <v>0</v>
      </c>
      <c r="BL10" s="440" t="s">
        <v>566</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578</v>
      </c>
      <c r="AE11" s="1667"/>
      <c r="AF11" s="3019" t="s">
        <v>578</v>
      </c>
      <c r="AG11" s="1667"/>
      <c r="AH11" s="3019" t="s">
        <v>579</v>
      </c>
      <c r="AI11" s="3023"/>
      <c r="AJ11" s="3019" t="s">
        <v>579</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580</v>
      </c>
      <c r="J12" s="1619" t="s">
        <v>581</v>
      </c>
      <c r="K12" s="1619" t="s">
        <v>580</v>
      </c>
      <c r="L12" s="1619" t="s">
        <v>581</v>
      </c>
      <c r="M12" s="1619" t="s">
        <v>580</v>
      </c>
      <c r="N12" s="1619" t="s">
        <v>581</v>
      </c>
      <c r="O12" s="1619" t="s">
        <v>580</v>
      </c>
      <c r="P12" s="1619" t="s">
        <v>581</v>
      </c>
      <c r="Q12" s="1619" t="s">
        <v>580</v>
      </c>
      <c r="R12" s="1619" t="s">
        <v>581</v>
      </c>
      <c r="S12" s="1619" t="s">
        <v>580</v>
      </c>
      <c r="T12" s="1619" t="s">
        <v>581</v>
      </c>
      <c r="U12" s="1619" t="s">
        <v>580</v>
      </c>
      <c r="V12" s="742" t="s">
        <v>581</v>
      </c>
      <c r="W12" s="1619" t="s">
        <v>580</v>
      </c>
      <c r="X12" s="1619" t="s">
        <v>581</v>
      </c>
      <c r="Y12" s="1619" t="s">
        <v>580</v>
      </c>
      <c r="Z12" s="1619" t="s">
        <v>581</v>
      </c>
      <c r="AA12" s="1619" t="s">
        <v>580</v>
      </c>
      <c r="AB12" s="1619" t="s">
        <v>581</v>
      </c>
      <c r="AC12" s="3020"/>
      <c r="AD12" s="904" t="s">
        <v>580</v>
      </c>
      <c r="AE12" s="1619" t="s">
        <v>581</v>
      </c>
      <c r="AF12" s="1619" t="s">
        <v>580</v>
      </c>
      <c r="AG12" s="1619" t="s">
        <v>581</v>
      </c>
      <c r="AH12" s="1619" t="s">
        <v>580</v>
      </c>
      <c r="AI12" s="1619" t="s">
        <v>581</v>
      </c>
      <c r="AJ12" s="1619" t="s">
        <v>580</v>
      </c>
      <c r="AK12" s="1619" t="s">
        <v>581</v>
      </c>
      <c r="AL12" s="1619" t="s">
        <v>580</v>
      </c>
      <c r="AM12" s="1619" t="s">
        <v>581</v>
      </c>
      <c r="AN12" s="1619" t="s">
        <v>580</v>
      </c>
      <c r="AO12" s="1619" t="s">
        <v>581</v>
      </c>
      <c r="AP12" s="1619" t="s">
        <v>580</v>
      </c>
      <c r="AQ12" s="1619" t="s">
        <v>581</v>
      </c>
      <c r="AR12" s="1243" t="s">
        <v>580</v>
      </c>
      <c r="AS12" s="2995" t="s">
        <v>581</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c r="D13" s="2998" t="s">
        <v>582</v>
      </c>
      <c r="E13" s="2983">
        <f>IF($C$3="是",ROUND($A$3*G13/$B$3,2),ROUND($A$3*(G13-AT13)/$B$3,2))</f>
        <v>0</v>
      </c>
      <c r="F13" s="2999"/>
      <c r="G13" s="3000">
        <f>H13+AC13+AT13</f>
        <v>1144.97</v>
      </c>
      <c r="H13" s="2986">
        <f>SUMIF(I$12:AB$12,"总值",I13:AB13)</f>
        <v>1144.97</v>
      </c>
      <c r="I13" s="3011">
        <f>面积明细!J7</f>
        <v>1144.97</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0</v>
      </c>
      <c r="AY13" s="904">
        <f>ROUND($AY$6*AZ13/$AZ$5,2)</f>
        <v>0</v>
      </c>
      <c r="AZ13" s="2983">
        <f>BA13+BL13</f>
        <v>1144.97</v>
      </c>
      <c r="BA13" s="2983">
        <f>SUM(BB13:BK13)</f>
        <v>1144.97</v>
      </c>
      <c r="BB13" s="2983">
        <f>IF($D13="是",I13-J13,0)</f>
        <v>1144.97</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2.5" spans="1:72">
      <c r="A14" s="1582"/>
      <c r="B14" s="1582"/>
      <c r="C14" s="2997"/>
      <c r="D14" s="2998"/>
      <c r="E14" s="2983">
        <f>IF($C$3="是",ROUND($A$3*G14/$B$3,2),ROUND($A$3*(G14-AT14)/$B$3,2))</f>
        <v>0</v>
      </c>
      <c r="F14" s="2999"/>
      <c r="G14" s="3000">
        <f>H14+AC14+AT14</f>
        <v>0</v>
      </c>
      <c r="H14" s="2986">
        <f>SUMIF(I$12:AB$12,"总值",I14:AB14)</f>
        <v>0</v>
      </c>
      <c r="I14" s="3011"/>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0</v>
      </c>
      <c r="AY14" s="904">
        <f>ROUND($AY$6*AZ14/$AZ$5,2)</f>
        <v>0</v>
      </c>
      <c r="AZ14" s="2983">
        <f>BA14+BL14</f>
        <v>0</v>
      </c>
      <c r="BA14" s="2983">
        <f>SUM(BB14:BK14)</f>
        <v>0</v>
      </c>
      <c r="BB14" s="2983">
        <f>IF($D14="是",I14-J14,0)</f>
        <v>0</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2.5" spans="1:72">
      <c r="A15" s="1582"/>
      <c r="B15" s="1582"/>
      <c r="C15" s="2997"/>
      <c r="D15" s="2998"/>
      <c r="E15" s="2983">
        <f>IF($C$3="是",ROUND($A$3*G15/$B$3,2),ROUND($A$3*(G15-AT15)/$B$3,2))</f>
        <v>0</v>
      </c>
      <c r="F15" s="2999"/>
      <c r="G15" s="3000">
        <f>H15+AC15+AT15</f>
        <v>0</v>
      </c>
      <c r="H15" s="2986">
        <f>SUMIF(I$12:AB$12,"总值",I15:AB15)</f>
        <v>0</v>
      </c>
      <c r="I15" s="3011"/>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0</v>
      </c>
      <c r="AY15" s="904">
        <f>ROUND($AY$6*AZ15/$AZ$5,2)</f>
        <v>0</v>
      </c>
      <c r="AZ15" s="2983">
        <f>BA15+BL15</f>
        <v>0</v>
      </c>
      <c r="BA15" s="2983">
        <f>SUM(BB15:BK15)</f>
        <v>0</v>
      </c>
      <c r="BB15" s="2983">
        <f>IF($D15="是",I15-J15,0)</f>
        <v>0</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2.5" spans="1:72">
      <c r="A16" s="1582"/>
      <c r="B16" s="1582"/>
      <c r="C16" s="2997"/>
      <c r="D16" s="2998"/>
      <c r="E16" s="2983">
        <f>IF($C$3="是",ROUND($A$3*G16/$B$3,2),ROUND($A$3*(G16-AT16)/$B$3,2))</f>
        <v>0</v>
      </c>
      <c r="F16" s="2999"/>
      <c r="G16" s="3000">
        <f>H16+AC16+AT16</f>
        <v>0</v>
      </c>
      <c r="H16" s="2986">
        <f>SUMIF(I$12:AB$12,"总值",I16:AB16)</f>
        <v>0</v>
      </c>
      <c r="I16" s="3011"/>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0</v>
      </c>
      <c r="AY16" s="904">
        <f>ROUND($AY$6*AZ16/$AZ$5,2)</f>
        <v>0</v>
      </c>
      <c r="AZ16" s="2983">
        <f>BA16+BL16</f>
        <v>0</v>
      </c>
      <c r="BA16" s="2983">
        <f>SUM(BB16:BK16)</f>
        <v>0</v>
      </c>
      <c r="BB16" s="2983">
        <f>IF($D16="是",I16-J16,0)</f>
        <v>0</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2.5" spans="1:72">
      <c r="A17" s="1582"/>
      <c r="B17" s="1582"/>
      <c r="C17" s="2997"/>
      <c r="D17" s="2998"/>
      <c r="E17" s="2983">
        <f>IF($C$3="是",ROUND($A$3*G17/$B$3,2),ROUND($A$3*(G17-AT17)/$B$3,2))</f>
        <v>0</v>
      </c>
      <c r="F17" s="2999"/>
      <c r="G17" s="3000">
        <f>H17+AC17+AT17</f>
        <v>0</v>
      </c>
      <c r="H17" s="2986">
        <f>SUMIF(I$12:AB$12,"总值",I17:AB17)</f>
        <v>0</v>
      </c>
      <c r="I17" s="3011"/>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0</v>
      </c>
      <c r="AY17" s="904">
        <f>ROUND($AY$6*AZ17/$AZ$5,2)</f>
        <v>0</v>
      </c>
      <c r="AZ17" s="2983">
        <f>BA17+BL17</f>
        <v>0</v>
      </c>
      <c r="BA17" s="2983">
        <f>SUM(BB17:BK17)</f>
        <v>0</v>
      </c>
      <c r="BB17" s="2983">
        <f>IF($D17="是",I17-J17,0)</f>
        <v>0</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c r="D18" s="2998"/>
      <c r="E18" s="3001">
        <f t="shared" ref="E18:E112" si="7">IF($C$3="是",ROUND($A$3*G18/$B$3,2),ROUND($A$3*(G18-AT18)/$B$3,2))</f>
        <v>0</v>
      </c>
      <c r="F18" s="3002"/>
      <c r="G18" s="3003">
        <f t="shared" ref="G18:G109" si="8">H18+AC18+AT18</f>
        <v>0</v>
      </c>
      <c r="H18" s="3004">
        <f t="shared" ref="H18:H109" si="9">SUMIF(I$12:AB$12,"总值",I18:AB18)</f>
        <v>0</v>
      </c>
      <c r="I18" s="3012"/>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0</v>
      </c>
      <c r="AY18" s="1850">
        <f t="shared" ref="AY18:AY109" si="14">ROUND($AY$6*AZ18/$AZ$5,2)</f>
        <v>0</v>
      </c>
      <c r="AZ18" s="3001">
        <f t="shared" ref="AZ18:AZ109" si="15">BA18+BL18</f>
        <v>0</v>
      </c>
      <c r="BA18" s="3001">
        <f t="shared" ref="BA18:BA109" si="16">SUM(BB18:BK18)</f>
        <v>0</v>
      </c>
      <c r="BB18" s="3001">
        <f t="shared" ref="BB18:BB109" si="17">IF($D18="是",I18-J18,0)</f>
        <v>0</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c r="D19" s="2998"/>
      <c r="E19" s="3001">
        <f t="shared" si="7"/>
        <v>0</v>
      </c>
      <c r="F19" s="3002"/>
      <c r="G19" s="3003">
        <f t="shared" si="8"/>
        <v>0</v>
      </c>
      <c r="H19" s="3004">
        <f t="shared" si="9"/>
        <v>0</v>
      </c>
      <c r="I19" s="3012"/>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0</v>
      </c>
      <c r="AY19" s="1850">
        <f t="shared" si="14"/>
        <v>0</v>
      </c>
      <c r="AZ19" s="3001">
        <f t="shared" si="15"/>
        <v>0</v>
      </c>
      <c r="BA19" s="3001">
        <f t="shared" si="16"/>
        <v>0</v>
      </c>
      <c r="BB19" s="3001">
        <f t="shared" si="17"/>
        <v>0</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c r="D20" s="2998"/>
      <c r="E20" s="3001">
        <f t="shared" si="7"/>
        <v>0</v>
      </c>
      <c r="F20" s="3002"/>
      <c r="G20" s="3003">
        <f t="shared" si="8"/>
        <v>0</v>
      </c>
      <c r="H20" s="3004">
        <f t="shared" si="9"/>
        <v>0</v>
      </c>
      <c r="I20" s="3012"/>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0</v>
      </c>
      <c r="AY20" s="1850">
        <f t="shared" si="14"/>
        <v>0</v>
      </c>
      <c r="AZ20" s="3001">
        <f t="shared" si="15"/>
        <v>0</v>
      </c>
      <c r="BA20" s="3001">
        <f t="shared" si="16"/>
        <v>0</v>
      </c>
      <c r="BB20" s="3001">
        <f t="shared" si="17"/>
        <v>0</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2" sqref="I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583</v>
      </c>
      <c r="B1" s="821"/>
      <c r="C1" s="821"/>
      <c r="D1" s="821"/>
      <c r="E1" s="821"/>
      <c r="F1" s="821"/>
      <c r="G1" s="821"/>
      <c r="H1" s="821"/>
      <c r="I1" s="821"/>
      <c r="J1" s="821"/>
      <c r="K1" s="821"/>
      <c r="L1" s="821"/>
      <c r="M1" s="821"/>
      <c r="N1" s="821"/>
      <c r="O1" s="821"/>
      <c r="P1" s="821"/>
    </row>
    <row r="2" spans="1:16">
      <c r="A2" s="2592" t="s">
        <v>584</v>
      </c>
      <c r="B2" s="2592"/>
      <c r="C2" s="2592"/>
      <c r="D2" s="2592" t="s">
        <v>585</v>
      </c>
      <c r="E2" s="2904" t="s">
        <v>586</v>
      </c>
      <c r="F2" s="2763"/>
      <c r="G2" s="2905"/>
      <c r="H2" s="2906"/>
      <c r="I2" s="1007" t="s">
        <v>587</v>
      </c>
      <c r="J2" s="2763"/>
      <c r="K2" s="2763"/>
      <c r="L2" s="2763"/>
      <c r="M2" s="2763"/>
      <c r="N2" s="1852"/>
      <c r="O2" s="2763"/>
      <c r="P2" s="2763"/>
    </row>
    <row r="3" ht="14.75" spans="1:16">
      <c r="A3" s="2907" t="s">
        <v>588</v>
      </c>
      <c r="B3" s="2907"/>
      <c r="C3" s="2907"/>
      <c r="D3" s="2908">
        <f>'数据-基础表'!AY6</f>
        <v>0</v>
      </c>
      <c r="E3" s="2908">
        <f>'数据-基础表'!AZ5</f>
        <v>1144.97</v>
      </c>
      <c r="F3" s="2763"/>
      <c r="G3" s="2909"/>
      <c r="H3" s="766" t="s">
        <v>589</v>
      </c>
      <c r="I3" s="2538" t="e">
        <f>ROUND('数据-基础表'!B3/'数据-基础表'!A3,2)</f>
        <v>#DIV/0!</v>
      </c>
      <c r="J3" s="2763"/>
      <c r="K3" s="2763"/>
      <c r="L3" s="2763"/>
      <c r="M3" s="2763"/>
      <c r="N3" s="1852"/>
      <c r="O3" s="2763"/>
      <c r="P3" s="2763"/>
    </row>
    <row r="4" spans="1:16">
      <c r="A4" s="1005"/>
      <c r="B4" s="1006"/>
      <c r="C4" s="2910"/>
      <c r="D4" s="2911" t="s">
        <v>585</v>
      </c>
      <c r="E4" s="2912" t="s">
        <v>586</v>
      </c>
      <c r="F4" s="2763"/>
      <c r="G4" s="2913" t="s">
        <v>590</v>
      </c>
      <c r="H4" s="766" t="s">
        <v>591</v>
      </c>
      <c r="I4" s="2538" t="e">
        <f>ROUND(SUMIF('数据-基础表'!I9:AS9,"地上",'数据-基础表'!I5:AS5)/'数据-基础表'!A3,2)</f>
        <v>#DIV/0!</v>
      </c>
      <c r="J4" s="2763"/>
      <c r="K4" s="2763"/>
      <c r="L4" s="2763"/>
      <c r="M4" s="2763"/>
      <c r="N4" s="1852"/>
      <c r="O4" s="2763"/>
      <c r="P4" s="2763"/>
    </row>
    <row r="5" spans="1:16">
      <c r="A5" s="2909" t="s">
        <v>592</v>
      </c>
      <c r="B5" s="1923" t="s">
        <v>593</v>
      </c>
      <c r="C5" s="1923"/>
      <c r="D5" s="766">
        <f>ROUND($D$3*E5/$E$3,2)</f>
        <v>0</v>
      </c>
      <c r="E5" s="2914">
        <f>SUMIF('数据-基础表'!$11:$11,"住宅",'数据-基础表'!$5:$5)</f>
        <v>0</v>
      </c>
      <c r="F5" s="2763"/>
      <c r="G5" s="2909"/>
      <c r="H5" s="766" t="s">
        <v>589</v>
      </c>
      <c r="I5" s="2538" t="e">
        <f>ROUND(E31/D31,2)</f>
        <v>#DIV/0!</v>
      </c>
      <c r="J5" s="2763"/>
      <c r="K5" s="2763"/>
      <c r="L5" s="2763"/>
      <c r="M5" s="2763"/>
      <c r="N5" s="2763"/>
      <c r="O5" s="2763"/>
      <c r="P5" s="2763"/>
    </row>
    <row r="6" ht="14.75" spans="1:16">
      <c r="A6" s="2915"/>
      <c r="B6" s="1923" t="s">
        <v>594</v>
      </c>
      <c r="C6" s="1923"/>
      <c r="D6" s="766">
        <f>ROUND($D$3*E6/$E$3,2)</f>
        <v>0</v>
      </c>
      <c r="E6" s="2914">
        <f>E3-E5</f>
        <v>1144.97</v>
      </c>
      <c r="F6" s="2763"/>
      <c r="G6" s="2916" t="s">
        <v>595</v>
      </c>
      <c r="H6" s="2917" t="s">
        <v>591</v>
      </c>
      <c r="I6" s="2956" t="e">
        <f>ROUND(F31/D31,2)</f>
        <v>#DIV/0!</v>
      </c>
      <c r="J6" s="2763"/>
      <c r="K6" s="2763"/>
      <c r="L6" s="2763"/>
      <c r="M6" s="2763"/>
      <c r="N6" s="2763"/>
      <c r="O6" s="2763"/>
      <c r="P6" s="2763"/>
    </row>
    <row r="7" ht="14.75" spans="1:16">
      <c r="A7" s="2918"/>
      <c r="B7" s="2919"/>
      <c r="C7" s="2920"/>
      <c r="D7" s="2911" t="s">
        <v>585</v>
      </c>
      <c r="E7" s="2921" t="s">
        <v>596</v>
      </c>
      <c r="F7" s="2763"/>
      <c r="G7" s="2922" t="s">
        <v>597</v>
      </c>
      <c r="H7" s="2884"/>
      <c r="I7" s="2957">
        <v>1</v>
      </c>
      <c r="J7" s="2763"/>
      <c r="K7" s="2763"/>
      <c r="L7" s="2763"/>
      <c r="M7" s="2763"/>
      <c r="N7" s="2763"/>
      <c r="O7" s="2763"/>
      <c r="P7" s="2763"/>
    </row>
    <row r="8" spans="1:16">
      <c r="A8" s="2909" t="s">
        <v>598</v>
      </c>
      <c r="B8" s="2917" t="s">
        <v>599</v>
      </c>
      <c r="C8" s="766" t="s">
        <v>600</v>
      </c>
      <c r="D8" s="766">
        <f t="shared" ref="D8:D15" si="0">ROUND($D$3*E8/$E$3,2)</f>
        <v>0</v>
      </c>
      <c r="E8" s="2923">
        <f>SUMIF('数据-基础表'!BB10:BK10,"地上",'数据-基础表'!BB5:BK5)</f>
        <v>1144.97</v>
      </c>
      <c r="F8" s="2763"/>
      <c r="G8" s="2763"/>
      <c r="H8" s="2763"/>
      <c r="I8" s="2763"/>
      <c r="J8" s="2763"/>
      <c r="K8" s="2763"/>
      <c r="L8" s="2763"/>
      <c r="M8" s="2763"/>
      <c r="N8" s="2763"/>
      <c r="O8" s="2763"/>
      <c r="P8" s="2763"/>
    </row>
    <row r="9" spans="1:16">
      <c r="A9" s="2916"/>
      <c r="B9" s="2924"/>
      <c r="C9" s="766" t="s">
        <v>601</v>
      </c>
      <c r="D9" s="766">
        <f t="shared" si="0"/>
        <v>0</v>
      </c>
      <c r="E9" s="2925">
        <v>0</v>
      </c>
      <c r="F9" s="2763"/>
      <c r="G9" s="2763"/>
      <c r="H9" s="2763"/>
      <c r="I9" s="2763"/>
      <c r="J9" s="2763"/>
      <c r="K9" s="2763"/>
      <c r="L9" s="2763"/>
      <c r="M9" s="2763"/>
      <c r="N9" s="2763"/>
      <c r="O9" s="2763"/>
      <c r="P9" s="2763"/>
    </row>
    <row r="10" spans="1:16">
      <c r="A10" s="2916"/>
      <c r="B10" s="2924"/>
      <c r="C10" s="766" t="s">
        <v>602</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603</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604</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605</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606</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607</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608</v>
      </c>
      <c r="D16" s="2917">
        <f>SUM(D8:D15)</f>
        <v>0</v>
      </c>
      <c r="E16" s="2926">
        <f>SUM(E8:E15)</f>
        <v>1144.97</v>
      </c>
      <c r="F16" s="2763"/>
      <c r="G16" s="2763"/>
      <c r="H16" s="2927" t="s">
        <v>609</v>
      </c>
      <c r="I16" s="2958"/>
      <c r="J16" s="821"/>
      <c r="K16" s="2959" t="s">
        <v>609</v>
      </c>
      <c r="L16" s="2929"/>
      <c r="M16" s="2929"/>
      <c r="N16" s="2929"/>
      <c r="O16" s="2929"/>
      <c r="P16" s="2960"/>
    </row>
    <row r="17" spans="1:19">
      <c r="A17" s="2875" t="s">
        <v>610</v>
      </c>
      <c r="B17" s="2928" t="s">
        <v>611</v>
      </c>
      <c r="C17" s="792" t="s">
        <v>612</v>
      </c>
      <c r="D17" s="2929" t="s">
        <v>585</v>
      </c>
      <c r="E17" s="2930" t="s">
        <v>586</v>
      </c>
      <c r="F17" s="2931"/>
      <c r="G17" s="2932"/>
      <c r="H17" s="2933" t="s">
        <v>613</v>
      </c>
      <c r="I17" s="2961" t="s">
        <v>614</v>
      </c>
      <c r="J17" s="821"/>
      <c r="K17" s="2962" t="s">
        <v>615</v>
      </c>
      <c r="L17" s="2963"/>
      <c r="M17" s="2964"/>
      <c r="N17" s="2962" t="s">
        <v>616</v>
      </c>
      <c r="O17" s="2963"/>
      <c r="P17" s="2964"/>
      <c r="R17" s="2626" t="s">
        <v>617</v>
      </c>
      <c r="S17" s="752"/>
    </row>
    <row r="18" spans="1:19">
      <c r="A18" s="2916"/>
      <c r="B18" s="2934"/>
      <c r="C18" s="755"/>
      <c r="D18" s="2935"/>
      <c r="E18" s="2936" t="s">
        <v>618</v>
      </c>
      <c r="F18" s="2937" t="s">
        <v>591</v>
      </c>
      <c r="G18" s="2938" t="s">
        <v>619</v>
      </c>
      <c r="H18" s="2879" t="s">
        <v>620</v>
      </c>
      <c r="I18" s="2965" t="s">
        <v>621</v>
      </c>
      <c r="J18" s="821"/>
      <c r="K18" s="2879" t="s">
        <v>622</v>
      </c>
      <c r="L18" s="1026" t="s">
        <v>623</v>
      </c>
      <c r="M18" s="2538" t="s">
        <v>624</v>
      </c>
      <c r="N18" s="2879" t="s">
        <v>622</v>
      </c>
      <c r="O18" s="1026" t="s">
        <v>623</v>
      </c>
      <c r="P18" s="2538" t="s">
        <v>624</v>
      </c>
      <c r="R18" s="766" t="s">
        <v>620</v>
      </c>
      <c r="S18" s="766" t="s">
        <v>621</v>
      </c>
    </row>
    <row r="19" spans="1:19">
      <c r="A19" s="2939"/>
      <c r="B19" s="2917" t="s">
        <v>625</v>
      </c>
      <c r="C19" s="2940">
        <v>2801</v>
      </c>
      <c r="D19" s="766">
        <f>ROUND($D$3*E19/$E$3,2)</f>
        <v>0</v>
      </c>
      <c r="E19" s="2941">
        <f t="shared" ref="E19:E26" si="1">SUM(F19:G19)</f>
        <v>1144.97</v>
      </c>
      <c r="F19" s="2942">
        <f>'数据-基础表'!I13</f>
        <v>1144.97</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1144.97</v>
      </c>
    </row>
    <row r="20" spans="1:19">
      <c r="A20" s="2939"/>
      <c r="B20" s="2917" t="s">
        <v>625</v>
      </c>
      <c r="C20" s="2940"/>
      <c r="D20" s="766">
        <f t="shared" ref="D20:D26" si="6">ROUND($D$3*E20/$E$3,2)</f>
        <v>0</v>
      </c>
      <c r="E20" s="2941">
        <f t="shared" si="1"/>
        <v>0</v>
      </c>
      <c r="F20" s="2942"/>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0</v>
      </c>
    </row>
    <row r="21" spans="1:19">
      <c r="A21" s="2939"/>
      <c r="B21" s="2917" t="s">
        <v>625</v>
      </c>
      <c r="C21" s="2940"/>
      <c r="D21" s="766">
        <f t="shared" si="6"/>
        <v>0</v>
      </c>
      <c r="E21" s="2941">
        <f t="shared" si="1"/>
        <v>0</v>
      </c>
      <c r="F21" s="2942"/>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0</v>
      </c>
    </row>
    <row r="22" spans="1:19">
      <c r="A22" s="2939"/>
      <c r="B22" s="2917" t="s">
        <v>625</v>
      </c>
      <c r="C22" s="2940"/>
      <c r="D22" s="766">
        <f t="shared" si="6"/>
        <v>0</v>
      </c>
      <c r="E22" s="2941">
        <f t="shared" si="1"/>
        <v>0</v>
      </c>
      <c r="F22" s="2942"/>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0</v>
      </c>
    </row>
    <row r="23" spans="1:19">
      <c r="A23" s="2939"/>
      <c r="B23" s="2917" t="s">
        <v>625</v>
      </c>
      <c r="C23" s="2940"/>
      <c r="D23" s="766">
        <f t="shared" si="6"/>
        <v>0</v>
      </c>
      <c r="E23" s="2941">
        <f t="shared" si="1"/>
        <v>0</v>
      </c>
      <c r="F23" s="2942"/>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0</v>
      </c>
    </row>
    <row r="24" spans="1:19">
      <c r="A24" s="2939"/>
      <c r="B24" s="2917" t="s">
        <v>625</v>
      </c>
      <c r="C24" s="2940"/>
      <c r="D24" s="766">
        <f t="shared" si="6"/>
        <v>0</v>
      </c>
      <c r="E24" s="2941">
        <f t="shared" si="1"/>
        <v>0</v>
      </c>
      <c r="F24" s="2942"/>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0</v>
      </c>
    </row>
    <row r="25" spans="1:19">
      <c r="A25" s="2939"/>
      <c r="B25" s="2917" t="s">
        <v>625</v>
      </c>
      <c r="C25" s="2940"/>
      <c r="D25" s="766">
        <f t="shared" si="6"/>
        <v>0</v>
      </c>
      <c r="E25" s="2941">
        <f t="shared" si="1"/>
        <v>0</v>
      </c>
      <c r="F25" s="2942"/>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0</v>
      </c>
    </row>
    <row r="26" spans="1:19">
      <c r="A26" s="2939"/>
      <c r="B26" s="2917" t="s">
        <v>625</v>
      </c>
      <c r="C26" s="2940"/>
      <c r="D26" s="766">
        <f t="shared" si="6"/>
        <v>0</v>
      </c>
      <c r="E26" s="2941">
        <f t="shared" si="1"/>
        <v>0</v>
      </c>
      <c r="F26" s="2942"/>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0</v>
      </c>
    </row>
    <row r="27" ht="14.75" spans="1:19">
      <c r="A27" s="2939"/>
      <c r="B27" s="766"/>
      <c r="C27" s="1012" t="s">
        <v>626</v>
      </c>
      <c r="D27" s="2944">
        <f>SUM(D19:D26)</f>
        <v>0</v>
      </c>
      <c r="E27" s="2945">
        <f>IF(SUM(E19:E26)='数据-基础表'!BA5,SUM(E19:E26),IF(F27="地上面积有误","面积有误","地下面积有误"))</f>
        <v>1144.97</v>
      </c>
      <c r="F27" s="2944">
        <f>IF(SUM(F19:F26)=E8,SUM(F19:F26),"地上面积有误")</f>
        <v>1144.97</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1144.97</v>
      </c>
    </row>
    <row r="28" spans="1:16">
      <c r="A28" s="2939"/>
      <c r="B28" s="2917" t="s">
        <v>627</v>
      </c>
      <c r="C28" s="752" t="s">
        <v>628</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627</v>
      </c>
      <c r="C29" s="819" t="s">
        <v>629</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626</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630</v>
      </c>
      <c r="D31" s="2951">
        <f>D27+D30</f>
        <v>0</v>
      </c>
      <c r="E31" s="2951">
        <f>E27+E30</f>
        <v>1144.97</v>
      </c>
      <c r="F31" s="2952">
        <f>F27+F30</f>
        <v>1144.97</v>
      </c>
      <c r="G31" s="2953">
        <f>G27+G30</f>
        <v>0</v>
      </c>
      <c r="H31" s="2763"/>
      <c r="I31" s="2763"/>
      <c r="J31" s="2763"/>
      <c r="K31" s="2763"/>
      <c r="L31" s="2763"/>
      <c r="M31" s="2763"/>
      <c r="N31" s="2763"/>
      <c r="O31" s="2763"/>
      <c r="P31" s="2763"/>
    </row>
    <row r="32" spans="1:16">
      <c r="A32" s="2934"/>
      <c r="B32" s="2934" t="s">
        <v>631</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Y6" activePane="bottomRight" state="frozen"/>
      <selection/>
      <selection pane="topRight"/>
      <selection pane="bottomLeft"/>
      <selection pane="bottomRight" activeCell="AC26" sqref="AC26"/>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632</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633</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634</v>
      </c>
      <c r="B4" s="776"/>
      <c r="C4" s="2737"/>
      <c r="D4" s="2738"/>
      <c r="E4" s="2737" t="s">
        <v>635</v>
      </c>
      <c r="F4" s="2737"/>
      <c r="G4" s="2737"/>
      <c r="H4" s="2737"/>
      <c r="I4" s="2737"/>
      <c r="J4" s="816"/>
      <c r="K4" s="2827"/>
      <c r="L4" s="2828"/>
      <c r="M4" s="2737"/>
      <c r="N4" s="2737" t="s">
        <v>636</v>
      </c>
      <c r="O4" s="2737"/>
      <c r="P4" s="2737"/>
      <c r="Q4" s="2737"/>
      <c r="R4" s="2737"/>
      <c r="S4" s="816"/>
      <c r="T4" s="2851" t="str">
        <f>'数据-汇总表'!I17</f>
        <v>按面积比例</v>
      </c>
      <c r="U4" s="776" t="s">
        <v>637</v>
      </c>
      <c r="V4" s="2737"/>
      <c r="W4" s="2737"/>
      <c r="X4" s="2737"/>
      <c r="Y4" s="816"/>
      <c r="Z4" s="792" t="s">
        <v>638</v>
      </c>
      <c r="AA4" s="792"/>
      <c r="AB4" s="792"/>
      <c r="AC4" s="792"/>
      <c r="AD4" s="792"/>
      <c r="AE4" s="2875" t="s">
        <v>639</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612</v>
      </c>
      <c r="B5" s="2740" t="s">
        <v>611</v>
      </c>
      <c r="C5" s="2741" t="s">
        <v>640</v>
      </c>
      <c r="D5" s="2742" t="s">
        <v>641</v>
      </c>
      <c r="E5" s="1960" t="s">
        <v>642</v>
      </c>
      <c r="F5" s="2743" t="s">
        <v>643</v>
      </c>
      <c r="G5" s="1960" t="s">
        <v>644</v>
      </c>
      <c r="H5" s="1960" t="s">
        <v>645</v>
      </c>
      <c r="I5" s="1960" t="s">
        <v>646</v>
      </c>
      <c r="J5" s="2021" t="s">
        <v>647</v>
      </c>
      <c r="K5" s="2829" t="s">
        <v>621</v>
      </c>
      <c r="L5" s="2830" t="s">
        <v>648</v>
      </c>
      <c r="M5" s="2831" t="s">
        <v>649</v>
      </c>
      <c r="N5" s="2832" t="s">
        <v>650</v>
      </c>
      <c r="O5" s="2830" t="s">
        <v>651</v>
      </c>
      <c r="P5" s="2833" t="s">
        <v>652</v>
      </c>
      <c r="Q5" s="2031" t="s">
        <v>653</v>
      </c>
      <c r="R5" s="2852" t="s">
        <v>654</v>
      </c>
      <c r="S5" s="2853" t="s">
        <v>655</v>
      </c>
      <c r="T5" s="2854" t="s">
        <v>656</v>
      </c>
      <c r="U5" s="2855" t="s">
        <v>657</v>
      </c>
      <c r="V5" s="1960" t="s">
        <v>658</v>
      </c>
      <c r="W5" s="1960" t="s">
        <v>659</v>
      </c>
      <c r="X5" s="1717"/>
      <c r="Y5" s="1719" t="s">
        <v>660</v>
      </c>
      <c r="Z5" s="1927" t="s">
        <v>657</v>
      </c>
      <c r="AA5" s="1960" t="s">
        <v>658</v>
      </c>
      <c r="AB5" s="1960" t="s">
        <v>659</v>
      </c>
      <c r="AC5" s="1717"/>
      <c r="AD5" s="1717" t="s">
        <v>660</v>
      </c>
      <c r="AE5" s="2855" t="s">
        <v>661</v>
      </c>
      <c r="AF5" s="1960" t="s">
        <v>662</v>
      </c>
      <c r="AG5" s="1719" t="s">
        <v>663</v>
      </c>
      <c r="AH5" s="2855" t="s">
        <v>664</v>
      </c>
      <c r="AI5" s="1927" t="s">
        <v>665</v>
      </c>
      <c r="AJ5" s="1927" t="s">
        <v>666</v>
      </c>
      <c r="AK5" s="1960" t="s">
        <v>667</v>
      </c>
      <c r="AL5" s="1960" t="s">
        <v>668</v>
      </c>
      <c r="AM5" s="1719" t="s">
        <v>669</v>
      </c>
      <c r="AN5" s="2886" t="s">
        <v>670</v>
      </c>
      <c r="AO5" s="2897" t="s">
        <v>671</v>
      </c>
      <c r="AP5" s="2898" t="s">
        <v>672</v>
      </c>
      <c r="AQ5" s="2899" t="s">
        <v>673</v>
      </c>
      <c r="AR5" s="2899" t="s">
        <v>674</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675</v>
      </c>
      <c r="D6" s="2747">
        <f>SUMIF(项目基本情况!C$12:I$12,C6,项目基本情况!C$14:I$14)</f>
        <v>40</v>
      </c>
      <c r="E6" s="2748">
        <f>IF(B6="","",SUMIF(项目基本情况!C$12:I$12,C6,项目基本情况!C$13:I$13))</f>
        <v>53350</v>
      </c>
      <c r="F6" s="2749">
        <f>SUMIF(项目基本情况!C$12:I$12,C6,项目基本情况!C$15:I$15)</f>
        <v>21.21</v>
      </c>
      <c r="G6" s="2750">
        <f>IF(ISERROR(ROUND(POWER(1+H6,D6-F6)*(POWER(1+H6,F6)-1)/(POWER(1+H6,D6)-1),3)),0,ROUND(POWER(1+H6,D6-F6)*(POWER(1+H6,F6)-1)/(POWER(1+H6,D6)-1),3))</f>
        <v>0.751</v>
      </c>
      <c r="H6" s="2751">
        <v>0.05</v>
      </c>
      <c r="I6" s="2751">
        <v>0.055</v>
      </c>
      <c r="J6" s="2834">
        <v>0.07</v>
      </c>
      <c r="K6" s="2835">
        <f>SUMIF('数据-汇总表'!C$19:C$33,A6,'数据-汇总表'!E$19:E$33)</f>
        <v>1144.97</v>
      </c>
      <c r="L6" s="2836">
        <v>3500</v>
      </c>
      <c r="M6" s="2837">
        <f t="shared" ref="M6:M14" si="0">ROUND(K6*L6/10000,0)</f>
        <v>401</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1.2</v>
      </c>
      <c r="V6" s="2861">
        <v>0.02</v>
      </c>
      <c r="W6" s="2861">
        <v>0.1</v>
      </c>
      <c r="X6" s="2862"/>
      <c r="Y6" s="2876">
        <f>N6</f>
        <v>0.85</v>
      </c>
      <c r="Z6" s="2877"/>
      <c r="AA6" s="2834"/>
      <c r="AB6" s="2834"/>
      <c r="AC6" s="2862"/>
      <c r="AD6" s="2878"/>
      <c r="AE6" s="2879">
        <f ca="1">IF(AN6="",0,SUMIF(INDIRECT("'"&amp;AN6&amp;"'"&amp;"!E:E"),$AE$5,INDIRECT("'"&amp;AN6&amp;"'"&amp;"!F:F")))</f>
        <v>21.21</v>
      </c>
      <c r="AF6" s="747"/>
      <c r="AG6" s="768">
        <f ca="1">IF(AF6="",0,AE6-AF6)</f>
        <v>0</v>
      </c>
      <c r="AH6" s="2887"/>
      <c r="AI6" s="2888">
        <v>365</v>
      </c>
      <c r="AJ6" s="747"/>
      <c r="AK6" s="2889">
        <v>0.005</v>
      </c>
      <c r="AL6" s="2890">
        <v>0.001</v>
      </c>
      <c r="AM6" s="2891">
        <v>0.01</v>
      </c>
      <c r="AN6" s="2892" t="s">
        <v>266</v>
      </c>
      <c r="AO6" s="1923">
        <f ca="1">SUMIF(INDIRECT("'"&amp;AN6&amp;"'"&amp;"!A:A"),"总价",INDIRECT("'"&amp;AN6&amp;"'"&amp;"!B:B"))</f>
        <v>621.9797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0</v>
      </c>
      <c r="B7" s="2745" t="str">
        <f t="shared" ref="B7:B13" si="1">IF(A7=0,"","经营性")</f>
        <v/>
      </c>
      <c r="C7" s="2746"/>
      <c r="D7" s="2747">
        <f>SUMIF(项目基本情况!C$12:I$12,C7,项目基本情况!C$14:I$14)</f>
        <v>0</v>
      </c>
      <c r="E7" s="2748" t="str">
        <f>IF(B7="","",SUMIF(项目基本情况!C$12:I$12,C7,项目基本情况!C$13:I$13))</f>
        <v/>
      </c>
      <c r="F7" s="2749">
        <f>SUMIF(项目基本情况!C$12:I$12,C7,项目基本情况!C$15:I$15)</f>
        <v>0</v>
      </c>
      <c r="G7" s="2750">
        <f t="shared" ref="G7:G13" si="2">IF(ISERROR(ROUND(POWER(1+H7,D7-F7)*(POWER(1+H7,F7)-1)/(POWER(1+H7,D7)-1),3)),0,ROUND(POWER(1+H7,D7-F7)*(POWER(1+H7,F7)-1)/(POWER(1+H7,D7)-1),3))</f>
        <v>0</v>
      </c>
      <c r="H7" s="2751"/>
      <c r="I7" s="2751"/>
      <c r="J7" s="2834"/>
      <c r="K7" s="2835">
        <f>SUMIF('数据-汇总表'!C$19:C$33,A7,'数据-汇总表'!E$19:E$33)</f>
        <v>0</v>
      </c>
      <c r="L7" s="2836"/>
      <c r="M7" s="2837">
        <f t="shared" si="0"/>
        <v>0</v>
      </c>
      <c r="N7" s="2838"/>
      <c r="O7" s="2837" t="str">
        <f t="shared" ref="O7:O14" si="3">IF($N$5="成新度","——",ROUND(M7*N7,0))</f>
        <v>——</v>
      </c>
      <c r="P7" s="1853" t="str">
        <f t="shared" ref="P7:P14" si="4">IF($N$5="成新度","——",M7-O7)</f>
        <v>——</v>
      </c>
      <c r="Q7" s="2856"/>
      <c r="R7" s="2857">
        <f ca="1">SUMIF('数据-汇总表'!C$19:C$33,A7,'数据-汇总表'!R$19:R$27)</f>
        <v>0</v>
      </c>
      <c r="S7" s="2858">
        <f>IF('数据-汇总表'!$I$17="按面积比例",SUMIF('数据-汇总表'!C$19:C$33,A7,'数据-汇总表'!K$19:K$33),SUMIF('数据-汇总表'!C$19:C$33,A7,'数据-汇总表'!N$19:N$33))</f>
        <v>0</v>
      </c>
      <c r="T7" s="2859">
        <f t="shared" ref="T7:T13" si="5">ROUND($L$14*S7/10000,0)</f>
        <v>0</v>
      </c>
      <c r="U7" s="2860"/>
      <c r="V7" s="2861"/>
      <c r="W7" s="2861"/>
      <c r="X7" s="2862"/>
      <c r="Y7" s="2876"/>
      <c r="Z7" s="2877"/>
      <c r="AA7" s="2834"/>
      <c r="AB7" s="2834"/>
      <c r="AC7" s="2862"/>
      <c r="AD7" s="2878"/>
      <c r="AE7" s="2879">
        <f ca="1" t="shared" ref="AE7:AE13" si="6">IF(AN7="",0,SUMIF(INDIRECT("'"&amp;AN7&amp;"'"&amp;"!E:E"),$AE$5,INDIRECT("'"&amp;AN7&amp;"'"&amp;"!F:F")))</f>
        <v>0</v>
      </c>
      <c r="AF7" s="747"/>
      <c r="AG7" s="768">
        <f ca="1" t="shared" ref="AG7:AG13" si="7">IF(AF7="",0,AE7-AF7)</f>
        <v>0</v>
      </c>
      <c r="AH7" s="2887"/>
      <c r="AI7" s="2888"/>
      <c r="AJ7" s="747"/>
      <c r="AK7" s="2889"/>
      <c r="AL7" s="2890"/>
      <c r="AM7" s="2891"/>
      <c r="AN7" s="2892"/>
      <c r="AO7" s="1923" t="e">
        <f ca="1" t="shared" ref="AO7:AO13" si="8">SUMIF(INDIRECT("'"&amp;AN7&amp;"'"&amp;"!A:A"),"总价",INDIRECT("'"&amp;AN7&amp;"'"&amp;"!B:B"))</f>
        <v>#REF!</v>
      </c>
      <c r="AP7" s="2900">
        <f t="shared" ref="AP7:AP13" si="9">IF(C7="住宅",K7*L7,0)</f>
        <v>0</v>
      </c>
      <c r="AQ7" s="1923">
        <f t="shared" ref="AQ7:AQ13" si="10">ROUND($L$14*$N$14*S7/10000,0)</f>
        <v>0</v>
      </c>
      <c r="AR7" s="1923">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0</v>
      </c>
      <c r="B8" s="2745" t="str">
        <f t="shared" si="1"/>
        <v/>
      </c>
      <c r="C8" s="2746"/>
      <c r="D8" s="2747">
        <f>SUMIF(项目基本情况!C$12:I$12,C8,项目基本情况!C$14:I$14)</f>
        <v>0</v>
      </c>
      <c r="E8" s="2748" t="str">
        <f>IF(B8="","",SUMIF(项目基本情况!C$12:I$12,C8,项目基本情况!C$13:I$13))</f>
        <v/>
      </c>
      <c r="F8" s="2749">
        <f>SUMIF(项目基本情况!C$12:I$12,C8,项目基本情况!C$15:I$15)</f>
        <v>0</v>
      </c>
      <c r="G8" s="2750">
        <f t="shared" si="2"/>
        <v>0</v>
      </c>
      <c r="H8" s="2751"/>
      <c r="I8" s="2751"/>
      <c r="J8" s="2834"/>
      <c r="K8" s="2835">
        <f>SUMIF('数据-汇总表'!C$19:C$33,A8,'数据-汇总表'!E$19:E$33)</f>
        <v>0</v>
      </c>
      <c r="L8" s="2836"/>
      <c r="M8" s="2837">
        <f t="shared" si="0"/>
        <v>0</v>
      </c>
      <c r="N8" s="2838"/>
      <c r="O8" s="2837" t="str">
        <f t="shared" si="3"/>
        <v>——</v>
      </c>
      <c r="P8" s="1853" t="str">
        <f t="shared" si="4"/>
        <v>——</v>
      </c>
      <c r="Q8" s="2856"/>
      <c r="R8" s="2857">
        <f ca="1">SUMIF('数据-汇总表'!C$19:C$33,A8,'数据-汇总表'!R$19:R$27)</f>
        <v>0</v>
      </c>
      <c r="S8" s="2858">
        <f>IF('数据-汇总表'!$I$17="按面积比例",SUMIF('数据-汇总表'!C$19:C$33,A8,'数据-汇总表'!K$19:K$33),SUMIF('数据-汇总表'!C$19:C$33,A8,'数据-汇总表'!N$19:N$33))</f>
        <v>0</v>
      </c>
      <c r="T8" s="2859">
        <f t="shared" si="5"/>
        <v>0</v>
      </c>
      <c r="U8" s="2860"/>
      <c r="V8" s="2861"/>
      <c r="W8" s="2861"/>
      <c r="X8" s="2862"/>
      <c r="Y8" s="2876"/>
      <c r="Z8" s="2877"/>
      <c r="AA8" s="2834"/>
      <c r="AB8" s="2834"/>
      <c r="AC8" s="2862"/>
      <c r="AD8" s="2878"/>
      <c r="AE8" s="2879">
        <f ca="1" t="shared" si="6"/>
        <v>0</v>
      </c>
      <c r="AF8" s="747"/>
      <c r="AG8" s="768">
        <f ca="1" t="shared" si="7"/>
        <v>0</v>
      </c>
      <c r="AH8" s="2893"/>
      <c r="AI8" s="2888"/>
      <c r="AJ8" s="747"/>
      <c r="AK8" s="2889"/>
      <c r="AL8" s="2890"/>
      <c r="AM8" s="2891"/>
      <c r="AN8" s="2892"/>
      <c r="AO8" s="1923" t="e">
        <f ca="1" t="shared" si="8"/>
        <v>#REF!</v>
      </c>
      <c r="AP8" s="2900">
        <f t="shared" si="9"/>
        <v>0</v>
      </c>
      <c r="AQ8" s="1923">
        <f t="shared" si="10"/>
        <v>0</v>
      </c>
      <c r="AR8" s="1923">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0</v>
      </c>
      <c r="B9" s="2745" t="str">
        <f t="shared" si="1"/>
        <v/>
      </c>
      <c r="C9" s="2746"/>
      <c r="D9" s="2747">
        <f>SUMIF(项目基本情况!C$12:I$12,C9,项目基本情况!C$14:I$14)</f>
        <v>0</v>
      </c>
      <c r="E9" s="2748" t="str">
        <f>IF(B9="","",SUMIF(项目基本情况!C$12:I$12,C9,项目基本情况!C$13:I$13))</f>
        <v/>
      </c>
      <c r="F9" s="2749">
        <f>SUMIF(项目基本情况!C$12:I$12,C9,项目基本情况!C$15:I$15)</f>
        <v>0</v>
      </c>
      <c r="G9" s="2750">
        <f t="shared" si="2"/>
        <v>0</v>
      </c>
      <c r="H9" s="2751"/>
      <c r="I9" s="2751"/>
      <c r="J9" s="2834"/>
      <c r="K9" s="2835">
        <f>SUMIF('数据-汇总表'!C$19:C$33,A9,'数据-汇总表'!E$19:E$33)</f>
        <v>0</v>
      </c>
      <c r="L9" s="2836"/>
      <c r="M9" s="2837">
        <f t="shared" si="0"/>
        <v>0</v>
      </c>
      <c r="N9" s="2838"/>
      <c r="O9" s="2837" t="str">
        <f t="shared" si="3"/>
        <v>——</v>
      </c>
      <c r="P9" s="1853" t="str">
        <f t="shared" si="4"/>
        <v>——</v>
      </c>
      <c r="Q9" s="2856"/>
      <c r="R9" s="2857">
        <f ca="1">SUMIF('数据-汇总表'!C$19:C$33,A9,'数据-汇总表'!R$19:R$27)</f>
        <v>0</v>
      </c>
      <c r="S9" s="2858">
        <f>IF('数据-汇总表'!$I$17="按面积比例",SUMIF('数据-汇总表'!C$19:C$33,A9,'数据-汇总表'!K$19:K$33),SUMIF('数据-汇总表'!C$19:C$33,A9,'数据-汇总表'!N$19:N$33))</f>
        <v>0</v>
      </c>
      <c r="T9" s="2859">
        <f t="shared" si="5"/>
        <v>0</v>
      </c>
      <c r="U9" s="2860"/>
      <c r="V9" s="2861"/>
      <c r="W9" s="2861"/>
      <c r="X9" s="2862"/>
      <c r="Y9" s="2876"/>
      <c r="Z9" s="2877"/>
      <c r="AA9" s="2834"/>
      <c r="AB9" s="2834"/>
      <c r="AC9" s="2862"/>
      <c r="AD9" s="2878"/>
      <c r="AE9" s="2879">
        <f ca="1" t="shared" si="6"/>
        <v>0</v>
      </c>
      <c r="AF9" s="747"/>
      <c r="AG9" s="768">
        <f ca="1" t="shared" si="7"/>
        <v>0</v>
      </c>
      <c r="AH9" s="2887"/>
      <c r="AI9" s="2888"/>
      <c r="AJ9" s="747"/>
      <c r="AK9" s="2889"/>
      <c r="AL9" s="2890"/>
      <c r="AM9" s="2891"/>
      <c r="AN9" s="2892"/>
      <c r="AO9" s="1923" t="e">
        <f ca="1" t="shared" si="8"/>
        <v>#REF!</v>
      </c>
      <c r="AP9" s="2900">
        <f t="shared" si="9"/>
        <v>0</v>
      </c>
      <c r="AQ9" s="1923">
        <f t="shared" si="10"/>
        <v>0</v>
      </c>
      <c r="AR9" s="1923">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0</v>
      </c>
      <c r="B10" s="2745" t="str">
        <f t="shared" si="1"/>
        <v/>
      </c>
      <c r="C10" s="2746"/>
      <c r="D10" s="2747">
        <f>SUMIF(项目基本情况!C$12:I$12,C10,项目基本情况!C$14:I$14)</f>
        <v>0</v>
      </c>
      <c r="E10" s="2748" t="str">
        <f>IF(B10="","",SUMIF(项目基本情况!C$12:I$12,C10,项目基本情况!C$13:I$13))</f>
        <v/>
      </c>
      <c r="F10" s="2749">
        <f>SUMIF(项目基本情况!C$12:I$12,C10,项目基本情况!C$15:I$15)</f>
        <v>0</v>
      </c>
      <c r="G10" s="2750">
        <f t="shared" si="2"/>
        <v>0</v>
      </c>
      <c r="H10" s="2751"/>
      <c r="I10" s="2751"/>
      <c r="J10" s="2834"/>
      <c r="K10" s="2835">
        <f>SUMIF('数据-汇总表'!C$19:C$33,A10,'数据-汇总表'!E$19:E$33)</f>
        <v>0</v>
      </c>
      <c r="L10" s="2836"/>
      <c r="M10" s="2837">
        <f t="shared" si="0"/>
        <v>0</v>
      </c>
      <c r="N10" s="2838"/>
      <c r="O10" s="2837" t="str">
        <f t="shared" si="3"/>
        <v>——</v>
      </c>
      <c r="P10" s="1853" t="str">
        <f t="shared" si="4"/>
        <v>——</v>
      </c>
      <c r="Q10" s="2856"/>
      <c r="R10" s="2857">
        <f ca="1">SUMIF('数据-汇总表'!C$19:C$33,A10,'数据-汇总表'!R$19:R$27)</f>
        <v>0</v>
      </c>
      <c r="S10" s="2858">
        <f>IF('数据-汇总表'!$I$17="按面积比例",SUMIF('数据-汇总表'!C$19:C$33,A10,'数据-汇总表'!K$19:K$33),SUMIF('数据-汇总表'!C$19:C$33,A10,'数据-汇总表'!N$19:N$33))</f>
        <v>0</v>
      </c>
      <c r="T10" s="2859">
        <f t="shared" si="5"/>
        <v>0</v>
      </c>
      <c r="U10" s="2860"/>
      <c r="V10" s="2861"/>
      <c r="W10" s="2861"/>
      <c r="X10" s="2862"/>
      <c r="Y10" s="2876"/>
      <c r="Z10" s="2877"/>
      <c r="AA10" s="2834"/>
      <c r="AB10" s="2834"/>
      <c r="AC10" s="2862"/>
      <c r="AD10" s="2878"/>
      <c r="AE10" s="2879">
        <f ca="1" t="shared" si="6"/>
        <v>0</v>
      </c>
      <c r="AF10" s="747"/>
      <c r="AG10" s="768">
        <f ca="1" t="shared" si="7"/>
        <v>0</v>
      </c>
      <c r="AH10" s="2887"/>
      <c r="AI10" s="2888"/>
      <c r="AJ10" s="747"/>
      <c r="AK10" s="2889"/>
      <c r="AL10" s="2890"/>
      <c r="AM10" s="2891"/>
      <c r="AN10" s="2892"/>
      <c r="AO10" s="1923" t="e">
        <f ca="1" t="shared" si="8"/>
        <v>#REF!</v>
      </c>
      <c r="AP10" s="2900">
        <f t="shared" si="9"/>
        <v>0</v>
      </c>
      <c r="AQ10" s="1923">
        <f t="shared" si="10"/>
        <v>0</v>
      </c>
      <c r="AR10" s="1923">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0</v>
      </c>
      <c r="B11" s="2745" t="str">
        <f t="shared" si="1"/>
        <v/>
      </c>
      <c r="C11" s="2746"/>
      <c r="D11" s="2747">
        <f>SUMIF(项目基本情况!C$12:I$12,C11,项目基本情况!C$14:I$14)</f>
        <v>0</v>
      </c>
      <c r="E11" s="2748" t="str">
        <f>IF(B11="","",SUMIF(项目基本情况!C$12:I$12,C11,项目基本情况!C$13:I$13))</f>
        <v/>
      </c>
      <c r="F11" s="2749">
        <f>SUMIF(项目基本情况!C$12:I$12,C11,项目基本情况!C$15:I$15)</f>
        <v>0</v>
      </c>
      <c r="G11" s="2750">
        <f t="shared" si="2"/>
        <v>0</v>
      </c>
      <c r="H11" s="2751"/>
      <c r="I11" s="2751"/>
      <c r="J11" s="2834"/>
      <c r="K11" s="2835">
        <f>SUMIF('数据-汇总表'!C$19:C$33,A11,'数据-汇总表'!E$19:E$33)</f>
        <v>0</v>
      </c>
      <c r="L11" s="2836"/>
      <c r="M11" s="2837">
        <f t="shared" si="0"/>
        <v>0</v>
      </c>
      <c r="N11" s="2838"/>
      <c r="O11" s="2837" t="str">
        <f t="shared" si="3"/>
        <v>——</v>
      </c>
      <c r="P11" s="1853" t="str">
        <f t="shared" si="4"/>
        <v>——</v>
      </c>
      <c r="Q11" s="2856"/>
      <c r="R11" s="2857">
        <f ca="1">SUMIF('数据-汇总表'!C$19:C$33,A11,'数据-汇总表'!R$19:R$27)</f>
        <v>0</v>
      </c>
      <c r="S11" s="2858">
        <f>IF('数据-汇总表'!$I$17="按面积比例",SUMIF('数据-汇总表'!C$19:C$33,A11,'数据-汇总表'!K$19:K$33),SUMIF('数据-汇总表'!C$19:C$33,A11,'数据-汇总表'!N$19:N$33))</f>
        <v>0</v>
      </c>
      <c r="T11" s="2859">
        <f t="shared" si="5"/>
        <v>0</v>
      </c>
      <c r="U11" s="2860"/>
      <c r="V11" s="2861"/>
      <c r="W11" s="2861"/>
      <c r="X11" s="2862"/>
      <c r="Y11" s="2876"/>
      <c r="Z11" s="2880"/>
      <c r="AA11" s="2834"/>
      <c r="AB11" s="2834"/>
      <c r="AC11" s="2862"/>
      <c r="AD11" s="2878"/>
      <c r="AE11" s="2879">
        <f ca="1" t="shared" si="6"/>
        <v>0</v>
      </c>
      <c r="AF11" s="747"/>
      <c r="AG11" s="768">
        <f ca="1" t="shared" si="7"/>
        <v>0</v>
      </c>
      <c r="AH11" s="2887"/>
      <c r="AI11" s="2888"/>
      <c r="AJ11" s="747"/>
      <c r="AK11" s="2889"/>
      <c r="AL11" s="2890"/>
      <c r="AM11" s="2891"/>
      <c r="AN11" s="2892"/>
      <c r="AO11" s="1923" t="e">
        <f ca="1" t="shared" si="8"/>
        <v>#REF!</v>
      </c>
      <c r="AP11" s="2900">
        <f t="shared" si="9"/>
        <v>0</v>
      </c>
      <c r="AQ11" s="1923">
        <f t="shared" si="10"/>
        <v>0</v>
      </c>
      <c r="AR11" s="1923">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0</v>
      </c>
      <c r="B12" s="2745" t="str">
        <f t="shared" si="1"/>
        <v/>
      </c>
      <c r="C12" s="2746"/>
      <c r="D12" s="2747">
        <f>SUMIF(项目基本情况!C$12:I$12,C12,项目基本情况!C$14:I$14)</f>
        <v>0</v>
      </c>
      <c r="E12" s="2748" t="str">
        <f>IF(B12="","",SUMIF(项目基本情况!C$12:I$12,C12,项目基本情况!C$13:I$13))</f>
        <v/>
      </c>
      <c r="F12" s="2749">
        <f>SUMIF(项目基本情况!C$12:I$12,C12,项目基本情况!C$15:I$15)</f>
        <v>0</v>
      </c>
      <c r="G12" s="2750">
        <f t="shared" si="2"/>
        <v>0</v>
      </c>
      <c r="H12" s="2751"/>
      <c r="I12" s="2751"/>
      <c r="J12" s="2834"/>
      <c r="K12" s="2835">
        <f>SUMIF('数据-汇总表'!C$19:C$33,A12,'数据-汇总表'!E$19:E$33)</f>
        <v>0</v>
      </c>
      <c r="L12" s="2836"/>
      <c r="M12" s="2837">
        <f t="shared" si="0"/>
        <v>0</v>
      </c>
      <c r="N12" s="2838"/>
      <c r="O12" s="2837" t="str">
        <f t="shared" si="3"/>
        <v>——</v>
      </c>
      <c r="P12" s="1853" t="str">
        <f t="shared" si="4"/>
        <v>——</v>
      </c>
      <c r="Q12" s="2856"/>
      <c r="R12" s="2857">
        <f ca="1">SUMIF('数据-汇总表'!C$19:C$33,A12,'数据-汇总表'!R$19:R$27)</f>
        <v>0</v>
      </c>
      <c r="S12" s="2858">
        <f>IF('数据-汇总表'!$I$17="按面积比例",SUMIF('数据-汇总表'!C$19:C$33,A12,'数据-汇总表'!K$19:K$33),SUMIF('数据-汇总表'!C$19:C$33,A12,'数据-汇总表'!N$19:N$33))</f>
        <v>0</v>
      </c>
      <c r="T12" s="2859">
        <f t="shared" si="5"/>
        <v>0</v>
      </c>
      <c r="U12" s="2860"/>
      <c r="V12" s="2861"/>
      <c r="W12" s="2861"/>
      <c r="X12" s="2862"/>
      <c r="Y12" s="2876"/>
      <c r="Z12" s="2880"/>
      <c r="AA12" s="2834"/>
      <c r="AB12" s="2834"/>
      <c r="AC12" s="2862"/>
      <c r="AD12" s="2878"/>
      <c r="AE12" s="2879">
        <f ca="1" t="shared" si="6"/>
        <v>0</v>
      </c>
      <c r="AF12" s="747"/>
      <c r="AG12" s="768">
        <f ca="1" t="shared" si="7"/>
        <v>0</v>
      </c>
      <c r="AH12" s="2887"/>
      <c r="AI12" s="2888"/>
      <c r="AJ12" s="747"/>
      <c r="AK12" s="2889"/>
      <c r="AL12" s="2890"/>
      <c r="AM12" s="2891"/>
      <c r="AN12" s="2892"/>
      <c r="AO12" s="1923" t="e">
        <f ca="1" t="shared" si="8"/>
        <v>#REF!</v>
      </c>
      <c r="AP12" s="2900">
        <f t="shared" si="9"/>
        <v>0</v>
      </c>
      <c r="AQ12" s="1923">
        <f t="shared" si="10"/>
        <v>0</v>
      </c>
      <c r="AR12" s="1923">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0</v>
      </c>
      <c r="B13" s="2745" t="str">
        <f t="shared" si="1"/>
        <v/>
      </c>
      <c r="C13" s="2746"/>
      <c r="D13" s="2747">
        <f>SUMIF(项目基本情况!C$12:I$12,C13,项目基本情况!C$14:I$14)</f>
        <v>0</v>
      </c>
      <c r="E13" s="2748" t="str">
        <f>IF(B13="","",SUMIF(项目基本情况!C$12:I$12,C13,项目基本情况!C$13:I$13))</f>
        <v/>
      </c>
      <c r="F13" s="2749">
        <f>SUMIF(项目基本情况!C$12:I$12,C13,项目基本情况!C$15:I$15)</f>
        <v>0</v>
      </c>
      <c r="G13" s="2750">
        <f t="shared" si="2"/>
        <v>0</v>
      </c>
      <c r="H13" s="2751"/>
      <c r="I13" s="2751"/>
      <c r="J13" s="2834"/>
      <c r="K13" s="2835">
        <f>SUMIF('数据-汇总表'!C$19:C$33,A13,'数据-汇总表'!E$19:E$33)</f>
        <v>0</v>
      </c>
      <c r="L13" s="2836"/>
      <c r="M13" s="2837">
        <f t="shared" si="0"/>
        <v>0</v>
      </c>
      <c r="N13" s="2838"/>
      <c r="O13" s="2837" t="str">
        <f t="shared" si="3"/>
        <v>——</v>
      </c>
      <c r="P13" s="1853" t="str">
        <f t="shared" si="4"/>
        <v>——</v>
      </c>
      <c r="Q13" s="2856"/>
      <c r="R13" s="2857">
        <f ca="1">SUMIF('数据-汇总表'!C$19:C$33,A13,'数据-汇总表'!R$19:R$27)</f>
        <v>0</v>
      </c>
      <c r="S13" s="2858">
        <f>IF('数据-汇总表'!$I$17="按面积比例",SUMIF('数据-汇总表'!C$19:C$33,A13,'数据-汇总表'!K$19:K$33),SUMIF('数据-汇总表'!C$19:C$33,A13,'数据-汇总表'!N$19:N$33))</f>
        <v>0</v>
      </c>
      <c r="T13" s="2859">
        <f t="shared" si="5"/>
        <v>0</v>
      </c>
      <c r="U13" s="2860"/>
      <c r="V13" s="2861"/>
      <c r="W13" s="2861"/>
      <c r="X13" s="2862"/>
      <c r="Y13" s="2876"/>
      <c r="Z13" s="2877"/>
      <c r="AA13" s="2834"/>
      <c r="AB13" s="2834"/>
      <c r="AC13" s="2862"/>
      <c r="AD13" s="2878"/>
      <c r="AE13" s="2879">
        <f ca="1" t="shared" si="6"/>
        <v>0</v>
      </c>
      <c r="AF13" s="747"/>
      <c r="AG13" s="768">
        <f ca="1" t="shared" si="7"/>
        <v>0</v>
      </c>
      <c r="AH13" s="2887"/>
      <c r="AI13" s="2888"/>
      <c r="AJ13" s="747"/>
      <c r="AK13" s="2889"/>
      <c r="AL13" s="2890"/>
      <c r="AM13" s="2891"/>
      <c r="AN13" s="2892"/>
      <c r="AO13" s="1923" t="e">
        <f ca="1" t="shared" si="8"/>
        <v>#REF!</v>
      </c>
      <c r="AP13" s="2900">
        <f t="shared" si="9"/>
        <v>0</v>
      </c>
      <c r="AQ13" s="1923">
        <f t="shared" si="10"/>
        <v>0</v>
      </c>
      <c r="AR13" s="1923">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628</v>
      </c>
      <c r="B14" s="2745" t="s">
        <v>627</v>
      </c>
      <c r="C14" s="2753" t="s">
        <v>628</v>
      </c>
      <c r="D14" s="2747"/>
      <c r="E14" s="2748"/>
      <c r="F14" s="2749"/>
      <c r="G14" s="2750"/>
      <c r="H14" s="2754"/>
      <c r="I14" s="2754"/>
      <c r="J14" s="2754"/>
      <c r="K14" s="2835">
        <f>SUMIF('数据-汇总表'!C$19:C$33,A14,'数据-汇总表'!E$19:E$33)</f>
        <v>0</v>
      </c>
      <c r="L14" s="2839"/>
      <c r="M14" s="2837">
        <f t="shared" si="0"/>
        <v>0</v>
      </c>
      <c r="N14" s="2840"/>
      <c r="O14" s="2837" t="str">
        <f t="shared" si="3"/>
        <v>——</v>
      </c>
      <c r="P14" s="1853" t="str">
        <f t="shared" si="4"/>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629</v>
      </c>
      <c r="B15" s="2745" t="s">
        <v>627</v>
      </c>
      <c r="C15" s="2753" t="s">
        <v>676</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630</v>
      </c>
      <c r="B16" s="2756"/>
      <c r="C16" s="2631"/>
      <c r="D16" s="2757"/>
      <c r="E16" s="2756"/>
      <c r="F16" s="2756"/>
      <c r="G16" s="2758">
        <f>ROUND(SUMPRODUCT(G6:G13,K6:K13)/SUMPRODUCT((G6:G13&gt;0)*(K6:K13)),3)</f>
        <v>0.751</v>
      </c>
      <c r="H16" s="2759">
        <f>ROUND(SUMPRODUCT(H6:H13,K6:K13)/SUMPRODUCT((H6:H13&gt;0)*(K6:K13)),3)</f>
        <v>0.05</v>
      </c>
      <c r="I16" s="2843"/>
      <c r="J16" s="2843"/>
      <c r="K16" s="2844">
        <f>SUM(K6:K15)</f>
        <v>1144.97</v>
      </c>
      <c r="L16" s="2845">
        <f>ROUND(M16*10000/SUM(K6:K14),0)</f>
        <v>3502</v>
      </c>
      <c r="M16" s="2845">
        <f>SUM(M6:M14)</f>
        <v>401</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677</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678</v>
      </c>
      <c r="B19" s="2766">
        <v>0</v>
      </c>
      <c r="C19" s="2767" t="s">
        <v>679</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680</v>
      </c>
      <c r="B20" s="2769">
        <v>2</v>
      </c>
      <c r="C20" s="2770" t="s">
        <v>681</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682</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683</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684</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685</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686</v>
      </c>
      <c r="B26" s="2775" t="s">
        <v>687</v>
      </c>
      <c r="C26" s="2776" t="s">
        <v>688</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689</v>
      </c>
      <c r="B27" s="2778">
        <v>160</v>
      </c>
      <c r="C27" s="2779" t="s">
        <v>690</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691</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692</v>
      </c>
      <c r="B29" s="2785"/>
      <c r="C29" s="2786" t="s">
        <v>693</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694</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695</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696</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697</v>
      </c>
      <c r="B33" s="2793">
        <v>0.03</v>
      </c>
      <c r="C33" s="2794" t="s">
        <v>698</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699</v>
      </c>
      <c r="B34" s="2795">
        <v>0</v>
      </c>
      <c r="C34" s="2794" t="s">
        <v>700</v>
      </c>
      <c r="D34" s="2796" t="s">
        <v>701</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702</v>
      </c>
      <c r="B35" s="2782">
        <v>200</v>
      </c>
      <c r="C35" s="2794" t="s">
        <v>703</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704</v>
      </c>
      <c r="B36" s="2797">
        <v>0.02</v>
      </c>
      <c r="C36" s="2794" t="s">
        <v>705</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706</v>
      </c>
      <c r="B37" s="2798">
        <v>0.02</v>
      </c>
      <c r="C37" s="2794" t="s">
        <v>707</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708</v>
      </c>
      <c r="B38" s="2795">
        <v>0.02</v>
      </c>
      <c r="C38" s="2794" t="s">
        <v>707</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709</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710</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711</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712</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713</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714</v>
      </c>
      <c r="B44" s="2810">
        <v>0.07</v>
      </c>
      <c r="C44" s="2794" t="s">
        <v>715</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716</v>
      </c>
      <c r="B45" s="2806">
        <v>0.03</v>
      </c>
      <c r="C45" s="2786" t="s">
        <v>717</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718</v>
      </c>
      <c r="B46" s="2806">
        <v>0.02</v>
      </c>
      <c r="C46" s="2786" t="s">
        <v>719</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720</v>
      </c>
      <c r="B47" s="2812"/>
      <c r="C47" s="2813" t="s">
        <v>721</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722</v>
      </c>
      <c r="B48" s="2815">
        <v>0.03</v>
      </c>
      <c r="C48" s="2786" t="s">
        <v>717</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723</v>
      </c>
      <c r="B49" s="2806">
        <v>0.0005</v>
      </c>
      <c r="C49" s="2786" t="s">
        <v>724</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725</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726</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727</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728</v>
      </c>
      <c r="B53" s="2820" t="s">
        <v>241</v>
      </c>
      <c r="C53" s="1852" t="s">
        <v>729</v>
      </c>
      <c r="D53" s="2821" t="s">
        <v>730</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731</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732</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733</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734</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735</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736</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737</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738</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739</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740</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741</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742</v>
      </c>
      <c r="D2" s="2677"/>
      <c r="E2" s="2674"/>
      <c r="F2" s="2678"/>
      <c r="G2" s="2676" t="s">
        <v>743</v>
      </c>
      <c r="H2" s="2565"/>
      <c r="I2" s="2565"/>
      <c r="J2" s="2565"/>
      <c r="K2" s="2565"/>
      <c r="L2" s="2565"/>
      <c r="M2" s="2565"/>
      <c r="N2" s="2565"/>
      <c r="O2" s="2565"/>
      <c r="P2" s="2565"/>
      <c r="Q2" s="2565"/>
    </row>
    <row r="3" ht="52" spans="1:17">
      <c r="A3" s="2679" t="s">
        <v>744</v>
      </c>
      <c r="B3" s="2680" t="s">
        <v>745</v>
      </c>
      <c r="C3" s="2681" t="s">
        <v>746</v>
      </c>
      <c r="D3" s="2682"/>
      <c r="E3" s="2683" t="s">
        <v>744</v>
      </c>
      <c r="F3" s="2684" t="s">
        <v>747</v>
      </c>
      <c r="G3" s="2685" t="s">
        <v>748</v>
      </c>
      <c r="H3" s="2565"/>
      <c r="I3" s="2565"/>
      <c r="J3" s="2565"/>
      <c r="K3" s="2565"/>
      <c r="L3" s="2565"/>
      <c r="M3" s="2565"/>
      <c r="N3" s="2565"/>
      <c r="O3" s="2565"/>
      <c r="P3" s="2565"/>
      <c r="Q3" s="2565"/>
    </row>
    <row r="4" ht="39" spans="1:17">
      <c r="A4" s="2683"/>
      <c r="B4" s="422" t="s">
        <v>749</v>
      </c>
      <c r="C4" s="2686" t="s">
        <v>750</v>
      </c>
      <c r="D4" s="2682"/>
      <c r="E4" s="2687"/>
      <c r="F4" s="499" t="s">
        <v>751</v>
      </c>
      <c r="G4" s="2688" t="s">
        <v>752</v>
      </c>
      <c r="H4" s="2565"/>
      <c r="I4" s="2565"/>
      <c r="J4" s="2565"/>
      <c r="K4" s="2565"/>
      <c r="L4" s="2565"/>
      <c r="M4" s="2565"/>
      <c r="N4" s="2565"/>
      <c r="O4" s="2565"/>
      <c r="P4" s="2565"/>
      <c r="Q4" s="2565"/>
    </row>
    <row r="5" ht="39" spans="1:17">
      <c r="A5" s="2683"/>
      <c r="B5" s="422" t="s">
        <v>753</v>
      </c>
      <c r="C5" s="2686" t="s">
        <v>754</v>
      </c>
      <c r="D5" s="2682"/>
      <c r="E5" s="2687"/>
      <c r="F5" s="422" t="s">
        <v>574</v>
      </c>
      <c r="G5" s="2688" t="s">
        <v>755</v>
      </c>
      <c r="H5" s="2565"/>
      <c r="I5" s="2565"/>
      <c r="J5" s="2565"/>
      <c r="K5" s="2565"/>
      <c r="L5" s="2565"/>
      <c r="M5" s="2565"/>
      <c r="N5" s="2565"/>
      <c r="O5" s="2565"/>
      <c r="P5" s="2565"/>
      <c r="Q5" s="2565"/>
    </row>
    <row r="6" ht="39" spans="1:17">
      <c r="A6" s="2683"/>
      <c r="B6" s="422" t="s">
        <v>751</v>
      </c>
      <c r="C6" s="2688" t="s">
        <v>752</v>
      </c>
      <c r="D6" s="2682"/>
      <c r="E6" s="2687"/>
      <c r="F6" s="422" t="s">
        <v>756</v>
      </c>
      <c r="G6" s="2688" t="s">
        <v>757</v>
      </c>
      <c r="H6" s="2565"/>
      <c r="I6" s="2565"/>
      <c r="J6" s="2565"/>
      <c r="K6" s="2565"/>
      <c r="L6" s="2565"/>
      <c r="M6" s="2565"/>
      <c r="N6" s="2565"/>
      <c r="O6" s="2565"/>
      <c r="P6" s="2565"/>
      <c r="Q6" s="2565"/>
    </row>
    <row r="7" ht="39.75" spans="1:17">
      <c r="A7" s="2683"/>
      <c r="B7" s="422" t="s">
        <v>574</v>
      </c>
      <c r="C7" s="2688" t="s">
        <v>755</v>
      </c>
      <c r="D7" s="2689"/>
      <c r="E7" s="2690"/>
      <c r="F7" s="2691" t="s">
        <v>758</v>
      </c>
      <c r="G7" s="2692" t="s">
        <v>759</v>
      </c>
      <c r="H7" s="2565"/>
      <c r="I7" s="2565"/>
      <c r="J7" s="2565"/>
      <c r="K7" s="2565"/>
      <c r="L7" s="2565"/>
      <c r="M7" s="2565"/>
      <c r="N7" s="2565"/>
      <c r="O7" s="2565"/>
      <c r="P7" s="2565"/>
      <c r="Q7" s="2565"/>
    </row>
    <row r="8" ht="26" spans="1:17">
      <c r="A8" s="2683"/>
      <c r="B8" s="422" t="s">
        <v>756</v>
      </c>
      <c r="C8" s="2688" t="s">
        <v>757</v>
      </c>
      <c r="D8" s="2689"/>
      <c r="E8" s="2689"/>
      <c r="F8" s="458"/>
      <c r="G8" s="458"/>
      <c r="H8" s="2565"/>
      <c r="I8" s="2565"/>
      <c r="J8" s="2565"/>
      <c r="K8" s="2565"/>
      <c r="L8" s="2565"/>
      <c r="M8" s="2565"/>
      <c r="N8" s="2565"/>
      <c r="O8" s="2565"/>
      <c r="P8" s="2565"/>
      <c r="Q8" s="2565"/>
    </row>
    <row r="9" ht="26" spans="1:17">
      <c r="A9" s="2683"/>
      <c r="B9" s="422" t="s">
        <v>760</v>
      </c>
      <c r="C9" s="2686" t="s">
        <v>761</v>
      </c>
      <c r="D9" s="2682"/>
      <c r="E9" s="2689"/>
      <c r="F9" s="458"/>
      <c r="G9" s="458"/>
      <c r="H9" s="2565"/>
      <c r="I9" s="2565"/>
      <c r="J9" s="2565"/>
      <c r="K9" s="2565"/>
      <c r="L9" s="2565"/>
      <c r="M9" s="2565"/>
      <c r="N9" s="2565"/>
      <c r="O9" s="2565"/>
      <c r="P9" s="2565"/>
      <c r="Q9" s="2565"/>
    </row>
    <row r="10" ht="14.75" spans="1:18">
      <c r="A10" s="2693"/>
      <c r="B10" s="2694" t="s">
        <v>762</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763</v>
      </c>
      <c r="B13" s="2697"/>
      <c r="C13" s="2697"/>
      <c r="D13" s="2696"/>
      <c r="E13" s="2697"/>
      <c r="F13" s="2697"/>
      <c r="G13" s="2697"/>
    </row>
    <row r="14" ht="14.75" spans="1:7">
      <c r="A14" s="2700"/>
      <c r="B14" s="2700"/>
      <c r="C14" s="2701" t="s">
        <v>742</v>
      </c>
      <c r="D14" s="2682"/>
      <c r="E14" s="2702"/>
      <c r="F14" s="2702"/>
      <c r="G14" s="2676" t="s">
        <v>743</v>
      </c>
    </row>
    <row r="15" ht="52" spans="1:7">
      <c r="A15" s="2703" t="s">
        <v>744</v>
      </c>
      <c r="B15" s="2704" t="s">
        <v>745</v>
      </c>
      <c r="C15" s="2705" t="str">
        <f>C3</f>
        <v>估价对象周边居住用地比例、居住小区规模和社区发展完善程度，综合评价居住社区成熟度一般</v>
      </c>
      <c r="D15" s="2682"/>
      <c r="E15" s="2706" t="s">
        <v>744</v>
      </c>
      <c r="F15" s="2704" t="s">
        <v>747</v>
      </c>
      <c r="G15" s="2707" t="str">
        <f>G3</f>
        <v>估价对象位于XX开发区，园区建设成熟度XX，产业集聚程度XX</v>
      </c>
    </row>
    <row r="16" ht="39" spans="1:7">
      <c r="A16" s="2708"/>
      <c r="B16" s="2709" t="s">
        <v>749</v>
      </c>
      <c r="C16" s="2710" t="str">
        <f>C4</f>
        <v>估价对象位于XX商圈，周边商业氛围成熟，人流量大，商业繁华度好</v>
      </c>
      <c r="D16" s="2682"/>
      <c r="E16" s="2711"/>
      <c r="F16" s="2712" t="s">
        <v>751</v>
      </c>
      <c r="G16" s="2713" t="str">
        <f>G4</f>
        <v>估价对象周边道路状况、公共交通通达情况、停车便捷程度，综合评价交通便捷度较好</v>
      </c>
    </row>
    <row r="17" ht="39" spans="1:7">
      <c r="A17" s="2708"/>
      <c r="B17" s="2709" t="s">
        <v>753</v>
      </c>
      <c r="C17" s="2710" t="str">
        <f>C5</f>
        <v>估价对象位于XX商圈，周边办公楼项目较多，入驻率高，办公集聚程度较好</v>
      </c>
      <c r="D17" s="2689"/>
      <c r="E17" s="2711"/>
      <c r="F17" s="2712" t="s">
        <v>764</v>
      </c>
      <c r="G17" s="2714"/>
    </row>
    <row r="18" ht="39" spans="1:7">
      <c r="A18" s="2708"/>
      <c r="B18" s="2712" t="s">
        <v>751</v>
      </c>
      <c r="C18" s="2713" t="str">
        <f>C6</f>
        <v>估价对象周边道路状况、公共交通通达情况、停车便捷程度，综合评价交通便捷度较好</v>
      </c>
      <c r="D18" s="2689"/>
      <c r="E18" s="2711"/>
      <c r="F18" s="2712" t="s">
        <v>758</v>
      </c>
      <c r="G18" s="2713" t="str">
        <f>G7</f>
        <v>该园区内是否有污染型企业，绿化情况，卫生条件，整体环境状况判断</v>
      </c>
    </row>
    <row r="19" ht="26" spans="1:7">
      <c r="A19" s="2708"/>
      <c r="B19" s="2712" t="s">
        <v>764</v>
      </c>
      <c r="C19" s="2714"/>
      <c r="D19" s="2682"/>
      <c r="E19" s="2711"/>
      <c r="F19" s="422" t="s">
        <v>574</v>
      </c>
      <c r="G19" s="2713" t="str">
        <f>G5</f>
        <v>估价对象所在区域公共配套设施齐备情况</v>
      </c>
    </row>
    <row r="20" ht="26" spans="1:7">
      <c r="A20" s="2708"/>
      <c r="B20" s="2712" t="s">
        <v>765</v>
      </c>
      <c r="C20" s="2710" t="str">
        <f>C9</f>
        <v>区域自然环境：；人文环境；综合评价环境状况一般</v>
      </c>
      <c r="D20" s="2689"/>
      <c r="E20" s="2711"/>
      <c r="F20" s="422" t="s">
        <v>756</v>
      </c>
      <c r="G20" s="2713" t="str">
        <f>G6</f>
        <v>估价对象所在区域基础设施水平</v>
      </c>
    </row>
    <row r="21" ht="26" spans="1:7">
      <c r="A21" s="2708"/>
      <c r="B21" s="422" t="s">
        <v>574</v>
      </c>
      <c r="C21" s="2713" t="str">
        <f>C7</f>
        <v>估价对象所在区域公共配套设施齐备情况</v>
      </c>
      <c r="D21" s="2682"/>
      <c r="E21" s="2711"/>
      <c r="F21" s="2712" t="s">
        <v>766</v>
      </c>
      <c r="G21" s="2715"/>
    </row>
    <row r="22" ht="13.5" customHeight="1" spans="1:7">
      <c r="A22" s="2708"/>
      <c r="B22" s="422" t="s">
        <v>756</v>
      </c>
      <c r="C22" s="2713" t="str">
        <f>C8</f>
        <v>估价对象所在区域基础设施水平</v>
      </c>
      <c r="D22" s="2682"/>
      <c r="E22" s="2711"/>
      <c r="F22" s="2712" t="s">
        <v>762</v>
      </c>
      <c r="G22" s="2714"/>
    </row>
    <row r="23" s="2565" customFormat="1" ht="14.75" spans="1:17">
      <c r="A23" s="2708"/>
      <c r="B23" s="2712" t="s">
        <v>766</v>
      </c>
      <c r="C23" s="2715"/>
      <c r="D23" s="1087"/>
      <c r="E23" s="2716"/>
      <c r="F23" s="2717" t="s">
        <v>522</v>
      </c>
      <c r="G23" s="2718"/>
      <c r="H23" s="2670"/>
      <c r="I23" s="2670"/>
      <c r="J23" s="2670"/>
      <c r="K23" s="2670"/>
      <c r="L23" s="2670"/>
      <c r="M23" s="2670"/>
      <c r="N23" s="2670"/>
      <c r="O23" s="2670"/>
      <c r="P23" s="2670"/>
      <c r="Q23" s="2670"/>
    </row>
    <row r="24" s="2565" customFormat="1" ht="14.75" spans="1:17">
      <c r="A24" s="2719"/>
      <c r="B24" s="2717" t="s">
        <v>762</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4" sqref="F34"/>
    </sheetView>
  </sheetViews>
  <sheetFormatPr defaultColWidth="9" defaultRowHeight="14"/>
  <cols>
    <col min="1" max="1" width="25" style="2655" customWidth="1"/>
    <col min="2" max="9" width="15.7545454545455" style="2655" customWidth="1"/>
    <col min="10" max="16384" width="9" style="2655"/>
  </cols>
  <sheetData>
    <row r="1" ht="16.5" spans="1:11">
      <c r="A1" s="2656" t="s">
        <v>767</v>
      </c>
      <c r="B1" s="2656">
        <f>SUM(B14:B23)</f>
        <v>158.7</v>
      </c>
      <c r="C1" s="2657"/>
      <c r="D1" s="2657"/>
      <c r="E1" s="2657"/>
      <c r="F1" s="2657"/>
      <c r="G1" s="2658"/>
      <c r="H1" s="2658"/>
      <c r="I1" s="2658"/>
      <c r="J1" s="2658"/>
      <c r="K1" s="2658"/>
    </row>
    <row r="2" ht="16.5" spans="1:11">
      <c r="A2" s="2656" t="s">
        <v>768</v>
      </c>
      <c r="B2" s="2656">
        <f>SUM(C14:C23)</f>
        <v>0</v>
      </c>
      <c r="C2" s="2657"/>
      <c r="D2" s="2657"/>
      <c r="E2" s="2657"/>
      <c r="F2" s="2657"/>
      <c r="G2" s="2658"/>
      <c r="H2" s="2658"/>
      <c r="I2" s="2658"/>
      <c r="J2" s="2658"/>
      <c r="K2" s="2658"/>
    </row>
    <row r="3" ht="16.5" spans="1:11">
      <c r="A3" s="2656" t="s">
        <v>769</v>
      </c>
      <c r="B3" s="2659">
        <f>项目基本情况!D3</f>
        <v>45608</v>
      </c>
      <c r="C3" s="2657"/>
      <c r="D3" s="2657"/>
      <c r="E3" s="2657"/>
      <c r="F3" s="2657"/>
      <c r="G3" s="2658"/>
      <c r="H3" s="2658"/>
      <c r="I3" s="2658"/>
      <c r="J3" s="2658"/>
      <c r="K3" s="2658"/>
    </row>
    <row r="4" ht="33" spans="1:11">
      <c r="A4" s="2656" t="s">
        <v>770</v>
      </c>
      <c r="B4" s="2656" t="s">
        <v>771</v>
      </c>
      <c r="C4" s="2656" t="s">
        <v>772</v>
      </c>
      <c r="D4" s="2656" t="s">
        <v>773</v>
      </c>
      <c r="E4" s="2657"/>
      <c r="F4" s="2658"/>
      <c r="G4" s="2658"/>
      <c r="H4" s="2658"/>
      <c r="I4" s="2658"/>
      <c r="J4" s="2658"/>
      <c r="K4" s="2658"/>
    </row>
    <row r="5" ht="16.5" spans="1:11">
      <c r="A5" s="2656" t="s">
        <v>774</v>
      </c>
      <c r="B5" s="2656">
        <f>SUM(D14:D23)</f>
        <v>413</v>
      </c>
      <c r="C5" s="2656">
        <f ca="1">IF(B5=D14,结果表!H102,ROUND(B5*10000/$B$1,0))</f>
        <v>9783</v>
      </c>
      <c r="D5" s="2656" t="e">
        <f>ROUND(B5*10000/$B$2,0)</f>
        <v>#DIV/0!</v>
      </c>
      <c r="E5" s="2657"/>
      <c r="F5" s="2658"/>
      <c r="G5" s="2658"/>
      <c r="H5" s="2658"/>
      <c r="I5" s="2658"/>
      <c r="J5" s="2658"/>
      <c r="K5" s="2658"/>
    </row>
    <row r="6" ht="16.5" spans="1:11">
      <c r="A6" s="2656" t="s">
        <v>775</v>
      </c>
      <c r="B6" s="2656">
        <f>SUM(G14:G23)</f>
        <v>0</v>
      </c>
      <c r="C6" s="2656">
        <f ca="1">IF(B6=G14,结果表!H108,ROUND(B6*10000/$B$1,0))</f>
        <v>9783</v>
      </c>
      <c r="D6" s="2656" t="e">
        <f>ROUND(B6*10000/$B$2,0)</f>
        <v>#DIV/0!</v>
      </c>
      <c r="E6" s="2657"/>
      <c r="F6" s="2658"/>
      <c r="G6" s="2658"/>
      <c r="H6" s="2658"/>
      <c r="I6" s="2658"/>
      <c r="J6" s="2658"/>
      <c r="K6" s="2658"/>
    </row>
    <row r="7" ht="16.5" spans="1:11">
      <c r="A7" s="2656" t="s">
        <v>776</v>
      </c>
      <c r="B7" s="2656">
        <f>SUM(H14:H23)</f>
        <v>0</v>
      </c>
      <c r="C7" s="2656" t="str">
        <f ca="1">IF(B7=H14,结果表!H110,ROUND(B7*10000/$B$1,0))</f>
        <v>——</v>
      </c>
      <c r="D7" s="2656" t="e">
        <f>ROUND(B7*10000/$B$2,0)</f>
        <v>#DIV/0!</v>
      </c>
      <c r="E7" s="2657"/>
      <c r="F7" s="2658"/>
      <c r="G7" s="2658"/>
      <c r="H7" s="2658"/>
      <c r="I7" s="2658"/>
      <c r="J7" s="2658"/>
      <c r="K7" s="2658"/>
    </row>
    <row r="8" ht="16.5" spans="1:11">
      <c r="A8" s="2656" t="s">
        <v>354</v>
      </c>
      <c r="B8" s="2656">
        <f>SUM(I14:I23)</f>
        <v>0</v>
      </c>
      <c r="C8" s="2656">
        <f ca="1">IF(B8=I14,结果表!H112,ROUND(B8*10000/$B$1,0))</f>
        <v>3607</v>
      </c>
      <c r="D8" s="2656" t="e">
        <f>ROUND(B8*10000/$B$2,0)</f>
        <v>#DIV/0!</v>
      </c>
      <c r="E8" s="2657"/>
      <c r="F8" s="2658"/>
      <c r="G8" s="2658"/>
      <c r="H8" s="2658"/>
      <c r="I8" s="2658"/>
      <c r="J8" s="2658"/>
      <c r="K8" s="2658"/>
    </row>
    <row r="9" ht="16.5" spans="1:11">
      <c r="A9" s="2656" t="s">
        <v>777</v>
      </c>
      <c r="B9" s="2660"/>
      <c r="C9" s="2657"/>
      <c r="D9" s="2657"/>
      <c r="E9" s="2657"/>
      <c r="F9" s="2658"/>
      <c r="G9" s="2658"/>
      <c r="H9" s="2658"/>
      <c r="I9" s="2658"/>
      <c r="J9" s="2658"/>
      <c r="K9" s="2658"/>
    </row>
    <row r="10" ht="16.5" spans="1:11">
      <c r="A10" s="2656" t="s">
        <v>778</v>
      </c>
      <c r="B10" s="2656">
        <f>IF(E10="",0,ROUND(B1*(E10*365/G10)/10000,0))</f>
        <v>0</v>
      </c>
      <c r="C10" s="2656" t="s">
        <v>779</v>
      </c>
      <c r="D10" s="2656" t="s">
        <v>778</v>
      </c>
      <c r="E10" s="2661"/>
      <c r="F10" s="2662" t="s">
        <v>780</v>
      </c>
      <c r="G10" s="2663"/>
      <c r="H10" s="2658"/>
      <c r="I10" s="2658"/>
      <c r="J10" s="2658"/>
      <c r="K10" s="2658"/>
    </row>
    <row r="11" ht="16.5" spans="1:11">
      <c r="A11" s="2656" t="s">
        <v>781</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782</v>
      </c>
      <c r="B13" s="2665" t="s">
        <v>767</v>
      </c>
      <c r="C13" s="2665" t="s">
        <v>768</v>
      </c>
      <c r="D13" s="2665" t="s">
        <v>783</v>
      </c>
      <c r="E13" s="2656" t="s">
        <v>772</v>
      </c>
      <c r="F13" s="2656" t="s">
        <v>773</v>
      </c>
      <c r="G13" s="2665" t="s">
        <v>784</v>
      </c>
      <c r="H13" s="2665" t="s">
        <v>785</v>
      </c>
      <c r="I13" s="2665" t="s">
        <v>786</v>
      </c>
      <c r="J13" s="2658"/>
      <c r="K13" s="2658"/>
    </row>
    <row r="14" ht="16.5" spans="1:11">
      <c r="A14" s="2666">
        <v>2801</v>
      </c>
      <c r="B14" s="2667">
        <v>158.7</v>
      </c>
      <c r="C14" s="2667"/>
      <c r="D14" s="2667">
        <f>ROUND(B14*E14/10000,0)</f>
        <v>413</v>
      </c>
      <c r="E14" s="2667">
        <v>26000</v>
      </c>
      <c r="F14" s="2667"/>
      <c r="G14" s="2667"/>
      <c r="H14" s="2667"/>
      <c r="I14" s="2667"/>
      <c r="J14" s="2658"/>
      <c r="K14" s="2658"/>
    </row>
    <row r="15" ht="16.5" spans="1:11">
      <c r="A15" s="2666">
        <v>2802</v>
      </c>
      <c r="B15" s="2667"/>
      <c r="C15" s="2666"/>
      <c r="D15" s="2667"/>
      <c r="E15" s="2667"/>
      <c r="F15" s="2667"/>
      <c r="G15" s="2667"/>
      <c r="H15" s="2660"/>
      <c r="I15" s="2666"/>
      <c r="J15" s="2658"/>
      <c r="K15" s="2658"/>
    </row>
    <row r="16" ht="16.5" spans="1:11">
      <c r="A16" s="2666">
        <v>2803</v>
      </c>
      <c r="B16" s="2667"/>
      <c r="C16" s="2666"/>
      <c r="D16" s="2667"/>
      <c r="E16" s="2667"/>
      <c r="F16" s="2667"/>
      <c r="G16" s="2667"/>
      <c r="H16" s="2660"/>
      <c r="I16" s="2666"/>
      <c r="J16" s="2658"/>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c r="C19" s="2666"/>
      <c r="D19" s="2667"/>
      <c r="E19" s="2667"/>
      <c r="F19" s="2667"/>
      <c r="G19" s="2667"/>
      <c r="H19" s="2666"/>
      <c r="I19" s="2666"/>
      <c r="J19" s="2658"/>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Q10" sqref="Q1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787</v>
      </c>
      <c r="B1" s="529"/>
      <c r="C1" s="733">
        <v>2801</v>
      </c>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240</v>
      </c>
      <c r="D4" s="741" t="s">
        <v>266</v>
      </c>
      <c r="E4" s="742" t="s">
        <v>792</v>
      </c>
      <c r="F4" s="743"/>
      <c r="G4" s="743"/>
      <c r="H4" s="743"/>
      <c r="I4" s="904"/>
      <c r="K4" s="424" t="str">
        <f>IF(ISNUMBER(FIND("比较法",结果表!C4)),"比较法",IF(ISNUMBER(FIND("成本法",结果表!C4)),"成本法",IF(ISNUMBER(FIND("假设开发法",结果表!C4)),"假设开发法",IF(ISNUMBER(FIND("收益法",结果表!C4)),"收益法","基准地价系数修正法"))))</f>
        <v>成本法</v>
      </c>
      <c r="L4" s="424" t="str">
        <f>IF(ISNUMBER(FIND("比较法",结果表!D4)),"比较法",IF(ISNUMBER(FIND("成本法",结果表!D4)),"成本法",IF(ISNUMBER(FIND("假设开发法",结果表!D4)),"假设开发法",IF(ISNUMBER(FIND("收益法",结果表!D4)),"收益法","基准地价系数修正法"))))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6</v>
      </c>
      <c r="D14" s="747">
        <v>4</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6</v>
      </c>
      <c r="D17" s="753">
        <f>SUM(D5:D16)</f>
        <v>4</v>
      </c>
      <c r="E17" s="458"/>
      <c r="F17" s="458"/>
      <c r="G17" s="458"/>
      <c r="H17" s="458"/>
      <c r="I17" s="458"/>
      <c r="K17" s="375"/>
      <c r="L17" s="375" t="s">
        <v>811</v>
      </c>
      <c r="M17" s="375" t="s">
        <v>812</v>
      </c>
    </row>
    <row r="18" ht="31.9" customHeight="1" spans="1:13">
      <c r="A18" s="754" t="s">
        <v>813</v>
      </c>
      <c r="B18" s="755"/>
      <c r="C18" s="756">
        <f>ROUND(C17/SUM(C17:D17),2)</f>
        <v>0.6</v>
      </c>
      <c r="D18" s="756">
        <f>1-C18</f>
        <v>0.4</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f ca="1">SUMIF(INDIRECT("'"&amp;C4&amp;"'"&amp;"!A:A"),结果表!B19,INDIRECT("'"&amp;C4&amp;"'"&amp;"!B:B"))</f>
        <v>1452.1928</v>
      </c>
      <c r="D19" s="762">
        <f ca="1">SUMIF(INDIRECT("'"&amp;D4&amp;"'"&amp;"!A:A"),结果表!B19,INDIRECT("'"&amp;D4&amp;"'"&amp;"!B:B"))</f>
        <v>621.9797</v>
      </c>
      <c r="E19" s="759" t="s">
        <v>817</v>
      </c>
      <c r="F19" s="760" t="s">
        <v>816</v>
      </c>
      <c r="G19" s="763">
        <f ca="1">ROUND(C19*$C$18+D19*$D$18,0)</f>
        <v>1120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f ca="1">SUMIF(INDIRECT("'"&amp;C4&amp;"'"&amp;"!A:A"),结果表!B20,INDIRECT("'"&amp;C4&amp;"'"&amp;"!B:B"))</f>
        <v>12683</v>
      </c>
      <c r="D20" s="768">
        <f ca="1">SUMIF(INDIRECT("'"&amp;D4&amp;"'"&amp;"!A:A"),结果表!B20,INDIRECT("'"&amp;D4&amp;"'"&amp;"!B:B"))</f>
        <v>5432</v>
      </c>
      <c r="E20" s="765"/>
      <c r="F20" s="766" t="s">
        <v>819</v>
      </c>
      <c r="G20" s="769">
        <f ca="1">ROUND(C20*$C$18+D20*$D$18,0)</f>
        <v>9783</v>
      </c>
      <c r="H20" s="538" t="s">
        <v>820</v>
      </c>
      <c r="I20" s="458"/>
    </row>
    <row r="21" ht="15" customHeight="1" spans="1:9">
      <c r="A21" s="770"/>
      <c r="B21" s="771" t="s">
        <v>821</v>
      </c>
      <c r="C21" s="772" t="e">
        <f ca="1">ROUND(C19*10000/L19,0)</f>
        <v>#DIV/0!</v>
      </c>
      <c r="D21" s="773" t="e">
        <f ca="1">ROUND(D19*10000/L19,0)</f>
        <v>#DIV/0!</v>
      </c>
      <c r="E21" s="770"/>
      <c r="F21" s="771" t="s">
        <v>821</v>
      </c>
      <c r="G21" s="774" t="e">
        <f ca="1">ROUND(G19*10000/L19,0)</f>
        <v>#DIV/0!</v>
      </c>
      <c r="H21" s="775" t="s">
        <v>820</v>
      </c>
      <c r="I21" s="458"/>
    </row>
    <row r="22" ht="14.75" spans="1:9">
      <c r="A22" s="776" t="s">
        <v>822</v>
      </c>
      <c r="B22" s="777"/>
      <c r="C22" s="778"/>
      <c r="D22" s="779">
        <f ca="1">IF(C19&lt;D19,D19/C19-1,C19/D19-1)</f>
        <v>1.33479131232097</v>
      </c>
      <c r="E22" s="458"/>
      <c r="F22" s="458"/>
      <c r="G22" s="458"/>
      <c r="H22" s="458"/>
      <c r="I22" s="458"/>
    </row>
    <row r="23" ht="14.75" spans="1:9">
      <c r="A23" s="529"/>
      <c r="B23" s="529"/>
      <c r="C23" s="529"/>
      <c r="D23" s="529"/>
      <c r="E23" s="458"/>
      <c r="F23" s="458"/>
      <c r="G23" s="458"/>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0.978191568338035</v>
      </c>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f ca="1">IF(D32="总价",G19-C24,G20-C25)</f>
        <v>9783</v>
      </c>
      <c r="D32" s="794" t="s">
        <v>832</v>
      </c>
      <c r="E32" s="458"/>
      <c r="F32" s="458"/>
      <c r="G32" s="458"/>
      <c r="H32" s="458"/>
      <c r="I32" s="458"/>
    </row>
    <row r="33" ht="14" spans="1:9">
      <c r="A33" s="795" t="s">
        <v>833</v>
      </c>
      <c r="B33" s="420"/>
      <c r="C33" s="796"/>
      <c r="D33" s="797"/>
      <c r="E33" s="798" t="s">
        <v>834</v>
      </c>
      <c r="F33" s="799" t="str">
        <f>IF(D32="楼面单价","取值（单价）","取值（总价）")</f>
        <v>取值（单价）</v>
      </c>
      <c r="G33" s="458"/>
      <c r="H33" s="458"/>
      <c r="I33" s="458"/>
    </row>
    <row r="34" ht="14" spans="1:9">
      <c r="A34" s="800"/>
      <c r="B34" s="801" t="s">
        <v>835</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f ca="1">ROUND(H101*F45,0)</f>
        <v>1120</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39" spans="1:15">
      <c r="A48" s="857" t="s">
        <v>862</v>
      </c>
      <c r="B48" s="435"/>
      <c r="C48" s="435"/>
      <c r="D48" s="536">
        <f ca="1">IF(H48="情况1",0,IF(H48="情况2",D52,IF(H48="情况3",D53,IF(H48="情况4",D54))))</f>
        <v>60</v>
      </c>
      <c r="E48" s="435" t="str">
        <f>IF(H48="情况4","(销售额-原购置价)×税（费）率","销售额×税（费）率")</f>
        <v>(销售额-原购置价)×税（费）率</v>
      </c>
      <c r="F48" s="858">
        <f>IF(H48="情况1","免征",'数据-取费表'!B41)</f>
        <v>0.056</v>
      </c>
      <c r="G48" s="859" t="s">
        <v>863</v>
      </c>
      <c r="H48" s="860" t="s">
        <v>864</v>
      </c>
      <c r="I48" s="850"/>
      <c r="J48" s="912">
        <v>3</v>
      </c>
      <c r="K48" s="913" t="s">
        <v>865</v>
      </c>
      <c r="L48" s="913"/>
      <c r="M48" s="916">
        <f ca="1">H101</f>
        <v>1120</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f ca="1">IF(项目基本情况!E8="房地产抵押价值",H107,H109)</f>
        <v>1120</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f ca="1">ROUND(D45*'数据-取费表'!B41/(1+'数据-取费表'!C42),0)</f>
        <v>60</v>
      </c>
      <c r="E52" s="435" t="s">
        <v>882</v>
      </c>
      <c r="F52" s="872">
        <f>'数据-取费表'!B41</f>
        <v>0.056</v>
      </c>
      <c r="G52" s="873"/>
      <c r="H52" s="550"/>
      <c r="I52" s="918"/>
      <c r="J52" s="912">
        <v>1</v>
      </c>
      <c r="K52" s="912" t="s">
        <v>883</v>
      </c>
      <c r="L52" s="912"/>
      <c r="M52" s="919">
        <f ca="1">D48</f>
        <v>60</v>
      </c>
      <c r="N52" s="912" t="str">
        <f>E48</f>
        <v>(销售额-原购置价)×税（费）率</v>
      </c>
      <c r="O52" s="920">
        <f>F48</f>
        <v>0.056</v>
      </c>
    </row>
    <row r="53" ht="12" customHeight="1" spans="1:15">
      <c r="A53" s="871" t="s">
        <v>884</v>
      </c>
      <c r="B53" s="410" t="s">
        <v>885</v>
      </c>
      <c r="C53" s="874"/>
      <c r="D53" s="431">
        <f ca="1">ROUND(D45*'数据-取费表'!B41/(1+'数据-取费表'!C42),0)</f>
        <v>60</v>
      </c>
      <c r="E53" s="435" t="s">
        <v>882</v>
      </c>
      <c r="F53" s="872">
        <f>'数据-取费表'!B41</f>
        <v>0.056</v>
      </c>
      <c r="G53" s="873"/>
      <c r="H53" s="550"/>
      <c r="I53" s="918"/>
      <c r="J53" s="912">
        <v>2</v>
      </c>
      <c r="K53" s="912" t="s">
        <v>886</v>
      </c>
      <c r="L53" s="912"/>
      <c r="M53" s="919">
        <f ca="1" t="shared" ref="M53:O54" si="0">D55</f>
        <v>1</v>
      </c>
      <c r="N53" s="912" t="str">
        <f t="shared" si="0"/>
        <v>销售额×税（费）率</v>
      </c>
      <c r="O53" s="920">
        <f t="shared" si="0"/>
        <v>0.0005</v>
      </c>
    </row>
    <row r="54" ht="12" customHeight="1" spans="1:16">
      <c r="A54" s="871" t="s">
        <v>887</v>
      </c>
      <c r="B54" s="410" t="s">
        <v>888</v>
      </c>
      <c r="C54" s="874"/>
      <c r="D54" s="431">
        <f ca="1">C68</f>
        <v>60</v>
      </c>
      <c r="E54" s="445" t="s">
        <v>889</v>
      </c>
      <c r="F54" s="872">
        <f>'数据-取费表'!B41</f>
        <v>0.056</v>
      </c>
      <c r="G54" s="873"/>
      <c r="H54" s="875"/>
      <c r="I54" s="918"/>
      <c r="J54" s="912">
        <v>3</v>
      </c>
      <c r="K54" s="912" t="s">
        <v>890</v>
      </c>
      <c r="L54" s="912"/>
      <c r="M54" s="919">
        <f ca="1" t="shared" si="0"/>
        <v>635</v>
      </c>
      <c r="N54" s="912" t="str">
        <f t="shared" si="0"/>
        <v>增值额×税（费）率</v>
      </c>
      <c r="O54" s="921" t="str">
        <f t="shared" si="0"/>
        <v>——</v>
      </c>
      <c r="P54" s="729">
        <f ca="1">ROUND(M49/1.05*0.05,0)</f>
        <v>53</v>
      </c>
    </row>
    <row r="55" ht="24" customHeight="1" spans="1:16">
      <c r="A55" s="871" t="s">
        <v>891</v>
      </c>
      <c r="B55" s="435"/>
      <c r="C55" s="435"/>
      <c r="D55" s="536">
        <f ca="1">IF(H55="个人住宅",0,ROUND(D45*I55,0))</f>
        <v>1</v>
      </c>
      <c r="E55" s="435" t="s">
        <v>892</v>
      </c>
      <c r="F55" s="872">
        <f>IF(H55="正常",I55,"免征")</f>
        <v>0.0005</v>
      </c>
      <c r="G55" s="873"/>
      <c r="H55" s="860" t="s">
        <v>893</v>
      </c>
      <c r="I55" s="922">
        <f>'数据-取费表'!B49</f>
        <v>0.0005</v>
      </c>
      <c r="J55" s="912">
        <f>IF(H59="非个人房产","",4)</f>
        <v>4</v>
      </c>
      <c r="K55" s="912" t="str">
        <f>IF(H59="非个人房产","——","个人所得税")</f>
        <v>个人所得税</v>
      </c>
      <c r="L55" s="912"/>
      <c r="M55" s="923">
        <f ca="1">D59</f>
        <v>11</v>
      </c>
      <c r="N55" s="924" t="str">
        <f>E59</f>
        <v>销售额×税（费）率</v>
      </c>
      <c r="O55" s="925">
        <f>F59</f>
        <v>0.01</v>
      </c>
      <c r="P55" s="729">
        <f ca="1">M52+M53+P54+M55</f>
        <v>125</v>
      </c>
    </row>
    <row r="56" ht="26" spans="1:16">
      <c r="A56" s="871" t="s">
        <v>894</v>
      </c>
      <c r="B56" s="435"/>
      <c r="C56" s="435"/>
      <c r="D56" s="536">
        <f ca="1">IF(H56="个人住宅",D57,D58)</f>
        <v>635</v>
      </c>
      <c r="E56" s="435" t="s">
        <v>895</v>
      </c>
      <c r="F56" s="872" t="str">
        <f>IF(H56="正常",F58,"免征")</f>
        <v>——</v>
      </c>
      <c r="G56" s="876" t="s">
        <v>896</v>
      </c>
      <c r="H56" s="877" t="s">
        <v>893</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995</v>
      </c>
    </row>
    <row r="57" ht="14" spans="1:16">
      <c r="A57" s="871" t="s">
        <v>866</v>
      </c>
      <c r="B57" s="410" t="s">
        <v>897</v>
      </c>
      <c r="C57" s="874"/>
      <c r="D57" s="861">
        <v>0</v>
      </c>
      <c r="E57" s="441" t="s">
        <v>868</v>
      </c>
      <c r="F57" s="375"/>
      <c r="G57" s="873"/>
      <c r="H57" s="878"/>
      <c r="I57" s="888"/>
      <c r="J57" s="912">
        <f>IF(AND(J55="",J56=""),4,IF(项目基本情况!K6="上海银行",结果表!J56+1,结果表!J55+1))</f>
        <v>5</v>
      </c>
      <c r="K57" s="912" t="s">
        <v>898</v>
      </c>
      <c r="L57" s="927" t="s">
        <v>899</v>
      </c>
      <c r="M57" s="928"/>
      <c r="N57" s="929">
        <f ca="1">SUMIF(M52:M56,"&lt;9e307")</f>
        <v>707</v>
      </c>
      <c r="O57" s="930"/>
      <c r="P57" s="931"/>
    </row>
    <row r="58" ht="26" spans="1:15">
      <c r="A58" s="871" t="s">
        <v>880</v>
      </c>
      <c r="B58" s="410" t="s">
        <v>900</v>
      </c>
      <c r="C58" s="411"/>
      <c r="D58" s="536">
        <f ca="1">IF(H58="转让取得",C81,C97)</f>
        <v>635</v>
      </c>
      <c r="E58" s="435" t="s">
        <v>895</v>
      </c>
      <c r="F58" s="375" t="s">
        <v>124</v>
      </c>
      <c r="G58" s="873"/>
      <c r="H58" s="877" t="s">
        <v>901</v>
      </c>
      <c r="I58" s="888"/>
      <c r="J58" s="912"/>
      <c r="K58" s="912"/>
      <c r="L58" s="927" t="s">
        <v>902</v>
      </c>
      <c r="M58" s="932"/>
      <c r="N58" s="933" t="str">
        <f ca="1">NUMBERSTRING(INT(N57*10000),2)&amp;"元整"</f>
        <v>柒佰零柒万元整</v>
      </c>
      <c r="O58" s="934"/>
    </row>
    <row r="59" ht="26.75" spans="1:15">
      <c r="A59" s="879" t="s">
        <v>903</v>
      </c>
      <c r="B59" s="880"/>
      <c r="C59" s="880"/>
      <c r="D59" s="881">
        <f ca="1">IF(H59="非个人房产","——",IF(H59="个人住宅（满五唯一有凭证）",0,IF(H59="个人其他（无凭证）",ROUND(D45*F59,0),ROUND(C67*F59,0))))</f>
        <v>11</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896</v>
      </c>
      <c r="H59" s="885" t="s">
        <v>904</v>
      </c>
      <c r="I59" s="935" t="s">
        <v>905</v>
      </c>
      <c r="J59" s="924">
        <f>J57+1</f>
        <v>6</v>
      </c>
      <c r="K59" s="912" t="s">
        <v>906</v>
      </c>
      <c r="L59" s="912" t="s">
        <v>899</v>
      </c>
      <c r="M59" s="936"/>
      <c r="N59" s="937">
        <f ca="1">M49-N57</f>
        <v>413</v>
      </c>
      <c r="O59" s="938"/>
    </row>
    <row r="60" ht="12" customHeight="1" spans="1:15">
      <c r="A60" s="886"/>
      <c r="B60" s="529"/>
      <c r="C60" s="529"/>
      <c r="D60" s="529"/>
      <c r="E60" s="887"/>
      <c r="F60" s="888"/>
      <c r="G60" s="888"/>
      <c r="H60" s="889"/>
      <c r="I60" s="458"/>
      <c r="J60" s="939"/>
      <c r="K60" s="912"/>
      <c r="L60" s="927" t="s">
        <v>902</v>
      </c>
      <c r="M60" s="932"/>
      <c r="N60" s="933" t="str">
        <f ca="1">NUMBERSTRING(INT(N59*10000),2)&amp;"元整"</f>
        <v>肆佰壹拾叁万元整</v>
      </c>
      <c r="O60" s="934"/>
    </row>
    <row r="61" ht="14.75" spans="1:15">
      <c r="A61" s="890" t="s">
        <v>907</v>
      </c>
      <c r="B61" s="890"/>
      <c r="C61" s="890"/>
      <c r="D61" s="890"/>
      <c r="E61" s="890"/>
      <c r="F61" s="888"/>
      <c r="G61" s="888"/>
      <c r="H61" s="889"/>
      <c r="I61" s="458"/>
      <c r="J61" s="912">
        <f>J59+1</f>
        <v>7</v>
      </c>
      <c r="K61" s="912" t="s">
        <v>908</v>
      </c>
      <c r="L61" s="912"/>
      <c r="M61" s="940"/>
      <c r="N61" s="941">
        <f ca="1">ROUND(N59*10000/'数据-汇总表'!E3,0)</f>
        <v>3607</v>
      </c>
      <c r="O61" s="942"/>
    </row>
    <row r="62" ht="14" spans="1:9">
      <c r="A62" s="891" t="s">
        <v>909</v>
      </c>
      <c r="B62" s="892"/>
      <c r="C62" s="892"/>
      <c r="D62" s="892" t="s">
        <v>910</v>
      </c>
      <c r="E62" s="893" t="s">
        <v>860</v>
      </c>
      <c r="F62" s="888"/>
      <c r="G62" s="888"/>
      <c r="H62" s="889"/>
      <c r="I62" s="458"/>
    </row>
    <row r="63" ht="14" spans="1:35">
      <c r="A63" s="894" t="s">
        <v>911</v>
      </c>
      <c r="B63" s="895" t="s">
        <v>912</v>
      </c>
      <c r="C63" s="896">
        <f ca="1">ROUND((C64+C65)/(1+'数据-取费表'!C42),0)</f>
        <v>1067</v>
      </c>
      <c r="D63" s="895"/>
      <c r="E63" s="897"/>
      <c r="F63" s="888"/>
      <c r="G63" s="888"/>
      <c r="H63" s="889"/>
      <c r="I63" s="458"/>
      <c r="J63" s="943" t="s">
        <v>913</v>
      </c>
      <c r="K63" s="943" t="s">
        <v>914</v>
      </c>
      <c r="L63" s="943">
        <f ca="1">IF(M49&gt;10000,M49*0.5%,IF(AND(M49&gt;1000,M49&lt;=10000),M49*1%,IF(AND(M49&gt;100,M49&lt;=1000),M49*3%,IF(AND(M49&gt;10,M49&lt;=100),M49*5%,M49*8%))))</f>
        <v>11.2</v>
      </c>
      <c r="M63" s="375">
        <f ca="1">ROUND(L63,1)</f>
        <v>11.2</v>
      </c>
      <c r="N63" s="944"/>
      <c r="Z63" s="730"/>
      <c r="AI63" s="731"/>
    </row>
    <row r="64" ht="14.25" customHeight="1" spans="1:35">
      <c r="A64" s="898" t="s">
        <v>915</v>
      </c>
      <c r="B64" s="899" t="s">
        <v>916</v>
      </c>
      <c r="C64" s="900">
        <f ca="1">D45</f>
        <v>1120</v>
      </c>
      <c r="D64" s="899" t="s">
        <v>124</v>
      </c>
      <c r="E64" s="901"/>
      <c r="F64" s="888"/>
      <c r="G64" s="888"/>
      <c r="H64" s="889"/>
      <c r="I64" s="458"/>
      <c r="J64" s="943"/>
      <c r="K64" s="943" t="s">
        <v>917</v>
      </c>
      <c r="L64" s="943">
        <f ca="1">IF(M49&gt;2000,M49*0.5%,IF(AND(M49&gt;1000,M49&lt;=2000),M49*0.6%,IF(AND(M49&gt;500,M49&lt;=1000),M49*0.7%,IF(AND(M49&gt;200,M49&lt;=500),M49*0.8%,IF(AND(M49&gt;100,M49&lt;=200),M49*0.9%,IF(AND(M49&gt;50,M49&lt;=100),M49*1%,IF(AND(M49&gt;20,M49&lt;=50),M49*1.5%,IF(AND(M49&gt;10,M49&lt;=20),M49*2%,IF(AND(M49&gt;1,M49&lt;=10),M49*2.5%)))))))))</f>
        <v>6.72</v>
      </c>
      <c r="M64" s="375">
        <f ca="1" t="shared" ref="M64:M65" si="1">ROUND(L64,1)</f>
        <v>6.7</v>
      </c>
      <c r="N64" s="550" t="s">
        <v>918</v>
      </c>
      <c r="Z64" s="730"/>
      <c r="AI64" s="731"/>
    </row>
    <row r="65" ht="14.25" customHeight="1" spans="1:35">
      <c r="A65" s="898" t="s">
        <v>919</v>
      </c>
      <c r="B65" s="899" t="s">
        <v>920</v>
      </c>
      <c r="C65" s="946"/>
      <c r="D65" s="899"/>
      <c r="E65" s="901"/>
      <c r="F65" s="888"/>
      <c r="G65" s="888"/>
      <c r="H65" s="889"/>
      <c r="I65" s="458"/>
      <c r="J65" s="943"/>
      <c r="K65" s="943" t="s">
        <v>921</v>
      </c>
      <c r="L65" s="943">
        <f ca="1">IF(M49&gt;1000,M49*0.1%,IF(AND(M49&gt;500,M49&lt;=1000),M49*0.5%,IF(AND(M49&gt;50,M49&lt;=500),M49*1%,IF(AND(M49&gt;1,M49&lt;=50),M49*1.5%))))</f>
        <v>1.12</v>
      </c>
      <c r="M65" s="375">
        <f ca="1" t="shared" si="1"/>
        <v>1.1</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f ca="1">M49*0.5%</f>
        <v>5.6</v>
      </c>
      <c r="M66" s="375">
        <f ca="1">IF(L66&gt;0.5,0.5,ROUND(L66,0))</f>
        <v>0.5</v>
      </c>
      <c r="N66" s="550" t="s">
        <v>926</v>
      </c>
      <c r="Z66" s="730"/>
      <c r="AI66" s="731"/>
    </row>
    <row r="67" ht="14.25" customHeight="1" spans="1:35">
      <c r="A67" s="894" t="s">
        <v>927</v>
      </c>
      <c r="B67" s="947" t="s">
        <v>928</v>
      </c>
      <c r="C67" s="950">
        <f ca="1">C63-C66</f>
        <v>1067</v>
      </c>
      <c r="D67" s="899" t="s">
        <v>124</v>
      </c>
      <c r="E67" s="901"/>
      <c r="F67" s="888"/>
      <c r="G67" s="888"/>
      <c r="H67" s="889"/>
      <c r="I67" s="458"/>
      <c r="J67" s="943"/>
      <c r="K67" s="943" t="s">
        <v>929</v>
      </c>
      <c r="L67" s="943">
        <f ca="1">IF(M49&gt;=10000,(8.25+(M49-10000)*0.01%),IF(AND(M49&gt;=8000,M49&lt;10000),(7.85+(M49-8000)*0.02%),IF(AND(M49&gt;=5000,M49&lt;8000),(6.65+(M49-5000)*0.04%),IF(AND(M49&gt;=2000,M49&lt;5000),(4.25+(PM49-2000)*0.08%),IF(AND(M49&gt;=1000,M49&lt;2000),(2.75+(M49-1000)*0.15%),IF(AND(M49&gt;=100,M49&lt;1000),(0.5+(M49-100)*0.25%),IF(AND(M49&gt;0,M49&lt;100),M49*0.5%)))))))</f>
        <v>2.93</v>
      </c>
      <c r="M67" s="375">
        <f ca="1">ROUND(L67*0.9,1)</f>
        <v>2.6</v>
      </c>
      <c r="N67" s="944"/>
      <c r="Z67" s="730"/>
      <c r="AI67" s="731"/>
    </row>
    <row r="68" ht="14.25" customHeight="1" spans="1:35">
      <c r="A68" s="951" t="s">
        <v>930</v>
      </c>
      <c r="B68" s="952" t="s">
        <v>931</v>
      </c>
      <c r="C68" s="953">
        <f ca="1">IF(C67&lt;=0,0,ROUND(C67*D68,0))</f>
        <v>60</v>
      </c>
      <c r="D68" s="954">
        <f>'数据-取费表'!B41</f>
        <v>0.056</v>
      </c>
      <c r="E68" s="955"/>
      <c r="F68" s="888"/>
      <c r="G68" s="888"/>
      <c r="H68" s="889"/>
      <c r="I68" s="458"/>
      <c r="J68" s="943"/>
      <c r="K68" s="943" t="s">
        <v>932</v>
      </c>
      <c r="L68" s="943">
        <f ca="1">IF(M49&gt;10000,M49*0.5%,IF(AND(M49&gt;5000,M49&lt;=10000),M49*1%,IF(AND(M49&gt;1000,M49&lt;=5000),M49*2%,IF(AND(M49&gt;200,M49&lt;=1000),M49*3%,M49*5%))))</f>
        <v>22.4</v>
      </c>
      <c r="M68" s="375">
        <f ca="1">ROUND(L68,1)</f>
        <v>22.4</v>
      </c>
      <c r="N68" s="944"/>
      <c r="Z68" s="730"/>
      <c r="AI68" s="731"/>
    </row>
    <row r="69" ht="16.5" customHeight="1" spans="1:35">
      <c r="A69" s="956"/>
      <c r="B69" s="957"/>
      <c r="C69" s="958"/>
      <c r="D69" s="959"/>
      <c r="E69" s="960"/>
      <c r="F69" s="887"/>
      <c r="G69" s="887"/>
      <c r="H69" s="836"/>
      <c r="I69" s="529"/>
      <c r="J69" s="943"/>
      <c r="K69" s="943" t="s">
        <v>933</v>
      </c>
      <c r="L69" s="943"/>
      <c r="M69" s="375">
        <f ca="1">ROUND(SUM(M63:M68),0)</f>
        <v>45</v>
      </c>
      <c r="N69" s="1057">
        <f ca="1">M69/M49</f>
        <v>0.0401785714285714</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f ca="1">ROUND(D45/(1+'数据-取费表'!C42),0)</f>
        <v>1067</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f ca="1">C74+C78</f>
        <v>6</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t="s">
        <v>941</v>
      </c>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f ca="1">ROUND(D45*D78/(1+'数据-取费表'!C42),0)</f>
        <v>6</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f ca="1">C72-C73</f>
        <v>1061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f ca="1">IF(C79&lt;=0,0,C79/C73)</f>
        <v>176.833333333333</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f ca="1">ROUND(IF(C79&lt;=0,0,IF(C80&gt;=200%,C79*60%-C73*35%,IF(C80&gt;=100%,C79*50%-C73*15%,IF(C80&gt;=50%,C79*40%-C73*5%,IF(C80&lt;50%,C79*30%,0))))),0)</f>
        <v>635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f ca="1">ROUND(D45/(1+'数据-取费表'!C42),0)</f>
        <v>1067</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f ca="1">IF(H88="仅含出让金",C87+C90+C91+C92+C93+C94,C87+C91+C92+C93+C94)</f>
        <v>62025</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938</v>
      </c>
      <c r="B88" s="899" t="s">
        <v>957</v>
      </c>
      <c r="C88" s="993">
        <v>4251</v>
      </c>
      <c r="D88" s="978"/>
      <c r="E88" s="994" t="s">
        <v>958</v>
      </c>
      <c r="F88" s="980"/>
      <c r="G88" s="995" t="s">
        <v>959</v>
      </c>
      <c r="H88" s="996" t="s">
        <v>960</v>
      </c>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130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52000</v>
      </c>
      <c r="D91" s="978"/>
      <c r="E91" s="979" t="s">
        <v>968</v>
      </c>
      <c r="F91" s="980"/>
      <c r="G91" s="980"/>
      <c r="H91" s="999" t="s">
        <v>969</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5638</v>
      </c>
      <c r="D92" s="1000">
        <v>0.1</v>
      </c>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f ca="1">ROUND(D45*D93/(1+'数据-取费表'!C42),0)</f>
        <v>6</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f ca="1">ROUND(C85-C86,0)</f>
        <v>-60958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 (元)</v>
      </c>
      <c r="D101" s="1011" t="str">
        <f>D4</f>
        <v>收益法 (元)</v>
      </c>
      <c r="E101" s="1012" t="s">
        <v>982</v>
      </c>
      <c r="F101" s="1013"/>
      <c r="G101" s="1014" t="s">
        <v>983</v>
      </c>
      <c r="H101" s="1015">
        <f ca="1">H118</f>
        <v>1120</v>
      </c>
      <c r="I101" s="458"/>
    </row>
    <row r="102" ht="18.75" customHeight="1" spans="1:9">
      <c r="A102" s="1016" t="s">
        <v>984</v>
      </c>
      <c r="B102" s="1017" t="s">
        <v>983</v>
      </c>
      <c r="C102" s="1010">
        <f ca="1">IF(D32="楼面单价",ROUND(C19,0),C19)</f>
        <v>1452</v>
      </c>
      <c r="D102" s="1011">
        <f ca="1">IF(D32="楼面单价",ROUND(D19,0),D19)</f>
        <v>622</v>
      </c>
      <c r="E102" s="1012"/>
      <c r="F102" s="1013"/>
      <c r="G102" s="1014" t="s">
        <v>99</v>
      </c>
      <c r="H102" s="873">
        <f ca="1">I118</f>
        <v>9783</v>
      </c>
      <c r="I102" s="458"/>
    </row>
    <row r="103" ht="42.75" customHeight="1" spans="1:9">
      <c r="A103" s="1016"/>
      <c r="B103" s="1017" t="s">
        <v>99</v>
      </c>
      <c r="C103" s="1018">
        <f ca="1">C20</f>
        <v>12683</v>
      </c>
      <c r="D103" s="1019">
        <f ca="1">D20</f>
        <v>5432</v>
      </c>
      <c r="E103" s="1020" t="s">
        <v>985</v>
      </c>
      <c r="F103" s="1021"/>
      <c r="G103" s="1022" t="s">
        <v>102</v>
      </c>
      <c r="H103" s="1015">
        <f>IF(D36="正常操作",H104+H105+H106,H105+H106)</f>
        <v>0</v>
      </c>
      <c r="I103" s="458"/>
    </row>
    <row r="104" ht="18.75" customHeight="1" spans="1:9">
      <c r="A104" s="1016" t="s">
        <v>986</v>
      </c>
      <c r="B104" s="1023" t="s">
        <v>983</v>
      </c>
      <c r="C104" s="1024">
        <f ca="1">H118</f>
        <v>1120</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f ca="1">I118</f>
        <v>9783</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f ca="1">IF(E107="——","——",H101-H103)</f>
        <v>1120</v>
      </c>
      <c r="I107" s="458"/>
    </row>
    <row r="108" ht="18.75" customHeight="1" spans="1:9">
      <c r="A108" s="458"/>
      <c r="B108" s="458"/>
      <c r="C108" s="458"/>
      <c r="D108" s="458"/>
      <c r="E108" s="1034"/>
      <c r="F108" s="1013"/>
      <c r="G108" s="1014" t="s">
        <v>99</v>
      </c>
      <c r="H108" s="873">
        <f ca="1">IF(H107=H101,H102,ROUND(H107*10000/'数据-汇总表'!E3,0))</f>
        <v>9783</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f ca="1">IF(E111="——","——",N59)</f>
        <v>413</v>
      </c>
      <c r="I111" s="458"/>
    </row>
    <row r="112" ht="18.75" customHeight="1" spans="1:9">
      <c r="A112" s="458"/>
      <c r="B112" s="458"/>
      <c r="C112" s="458"/>
      <c r="D112" s="458"/>
      <c r="E112" s="1038"/>
      <c r="F112" s="1039"/>
      <c r="G112" s="1040" t="s">
        <v>99</v>
      </c>
      <c r="H112" s="1041">
        <f ca="1">IF(E111="——","——",N61)</f>
        <v>3607</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1120</v>
      </c>
      <c r="I118" s="744">
        <f ca="1">ROUND(IF(D32="楼面单价",C32,H118*10000/B118),0)</f>
        <v>9783</v>
      </c>
    </row>
    <row r="119" ht="18.75" customHeight="1" spans="1:9">
      <c r="A119" s="744" t="s">
        <v>999</v>
      </c>
      <c r="B119" s="744"/>
      <c r="C119" s="744"/>
      <c r="D119" s="1051" t="e">
        <f ca="1">NUMBERSTRING(INT(D118*10000),2)&amp;"元整"</f>
        <v>#REF!</v>
      </c>
      <c r="E119" s="1052"/>
      <c r="F119" s="1051" t="e">
        <f ca="1">NUMBERSTRING(INT(F118*10000),2)&amp;"元整"</f>
        <v>#REF!</v>
      </c>
      <c r="G119" s="1052"/>
      <c r="H119" s="1051" t="str">
        <f ca="1">NUMBERSTRING(INT(H118*10000),2)&amp;"元整"</f>
        <v>壹仟壹佰贰拾万元整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1120</v>
      </c>
      <c r="E122" s="1054"/>
      <c r="F122" s="1054"/>
      <c r="G122" s="1054"/>
      <c r="H122" s="1054"/>
      <c r="I122" s="1055"/>
      <c r="AA122" s="729"/>
    </row>
    <row r="123" ht="18.75" customHeight="1" spans="1:27">
      <c r="A123" s="744" t="s">
        <v>999</v>
      </c>
      <c r="B123" s="744"/>
      <c r="C123" s="744"/>
      <c r="D123" s="1051" t="str">
        <f ca="1">NUMBERSTRING(INT(D122*10000),2)&amp;"元整"</f>
        <v>壹仟壹佰贰拾万元整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999</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413</v>
      </c>
      <c r="E126" s="1054"/>
      <c r="F126" s="1054"/>
      <c r="G126" s="1054"/>
      <c r="H126" s="1054"/>
      <c r="I126" s="1055"/>
      <c r="AA126" s="729"/>
    </row>
    <row r="127" ht="18.75" customHeight="1" spans="1:27">
      <c r="A127" s="744" t="s">
        <v>999</v>
      </c>
      <c r="B127" s="744"/>
      <c r="C127" s="744"/>
      <c r="D127" s="1051" t="str">
        <f ca="1">NUMBERSTRING(INT(D126*10000),2)&amp;"元整"</f>
        <v>肆佰壹拾叁万元整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573</v>
      </c>
      <c r="C1" s="645"/>
      <c r="D1" s="645"/>
      <c r="E1" s="645"/>
      <c r="F1" s="645"/>
      <c r="G1" s="646" t="e">
        <f>MATCH(B1,'数据-取费表'!A6:A16,0)+5</f>
        <v>#N/A</v>
      </c>
    </row>
    <row r="2" s="636" customFormat="1" ht="18" customHeight="1" spans="1:7">
      <c r="A2" s="647" t="s">
        <v>1008</v>
      </c>
      <c r="B2" s="648" t="e">
        <f ca="1">IF(D2="——",C52,C52-E2)</f>
        <v>#REF!</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#REF!</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#REF!</v>
      </c>
      <c r="D5" s="661" t="s">
        <v>1015</v>
      </c>
      <c r="E5" s="662" t="s">
        <v>1016</v>
      </c>
      <c r="F5" s="662" t="s">
        <v>910</v>
      </c>
      <c r="G5" s="663"/>
    </row>
    <row r="6" s="638" customFormat="1" ht="13.5" customHeight="1" spans="1:7">
      <c r="A6" s="664" t="s">
        <v>1017</v>
      </c>
      <c r="B6" s="665" t="s">
        <v>1018</v>
      </c>
      <c r="C6" s="666" t="e">
        <f>基准地价修正!C30</f>
        <v>#REF!</v>
      </c>
      <c r="D6" s="667"/>
      <c r="E6" s="668"/>
      <c r="F6" s="668"/>
      <c r="G6" s="669"/>
    </row>
    <row r="7" s="638" customFormat="1" ht="13.5" customHeight="1" spans="1:7">
      <c r="A7" s="664" t="s">
        <v>1019</v>
      </c>
      <c r="B7" s="665" t="s">
        <v>1020</v>
      </c>
      <c r="C7" s="670" t="e">
        <f>ROUND(C6*F7,0)</f>
        <v>#REF!</v>
      </c>
      <c r="D7" s="670"/>
      <c r="E7" s="668"/>
      <c r="F7" s="671">
        <f>IF(项目基本情况!B8="出让",0,'数据-取费表'!B48+'数据-取费表'!B49)</f>
        <v>0.0305</v>
      </c>
      <c r="G7" s="669"/>
    </row>
    <row r="8" s="639" customFormat="1" ht="13" spans="1:7">
      <c r="A8" s="664" t="s">
        <v>1021</v>
      </c>
      <c r="B8" s="665" t="s">
        <v>1022</v>
      </c>
      <c r="C8" s="670" t="e">
        <f ca="1">IF(G8="已包含在土地购买价格中","0",IF(B1="",'数据-取费表'!B29,IF(G9="全部缴纳",C9+C10,H9)))</f>
        <v>#N/A</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t="s">
        <v>1026</v>
      </c>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#REF!</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#REF!</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#REF!</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#REF!</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#REF!</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#REF!</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#REF!</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F20</f>
        <v>0.02</v>
      </c>
      <c r="G39" s="686" t="s">
        <v>1087</v>
      </c>
    </row>
    <row r="40" s="638" customFormat="1" ht="13.5" customHeight="1" spans="1:7">
      <c r="A40" s="659" t="s">
        <v>1049</v>
      </c>
      <c r="B40" s="660" t="s">
        <v>1053</v>
      </c>
      <c r="C40" s="687">
        <f>F21</f>
        <v>0.02</v>
      </c>
      <c r="D40" s="688" t="s">
        <v>1088</v>
      </c>
      <c r="E40" s="505"/>
      <c r="F40" s="685">
        <f>F21</f>
        <v>0.02</v>
      </c>
      <c r="G40" s="686" t="s">
        <v>1089</v>
      </c>
    </row>
    <row r="41" s="638" customFormat="1" ht="13.5" customHeight="1" spans="1:7">
      <c r="A41" s="659" t="s">
        <v>1052</v>
      </c>
      <c r="B41" s="660" t="s">
        <v>1057</v>
      </c>
      <c r="C41" s="505" t="e">
        <f ca="1">ROUND(SUM(C42:C43),0)</f>
        <v>#N/A</v>
      </c>
      <c r="D41" s="687">
        <f ca="1">C44</f>
        <v>0.0006</v>
      </c>
      <c r="E41" s="688" t="s">
        <v>1088</v>
      </c>
      <c r="F41" s="690">
        <f ca="1">F22</f>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#REF!</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10" sqref="Q10"/>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1007</v>
      </c>
      <c r="B1" s="644"/>
      <c r="C1" s="2653" t="s">
        <v>1107</v>
      </c>
      <c r="D1" s="645"/>
      <c r="E1" s="645"/>
      <c r="F1" s="645"/>
      <c r="G1" s="646">
        <f>MATCH(B1,'数据-取费表'!A6:A16,0)+5</f>
        <v>7</v>
      </c>
      <c r="H1" s="2254" t="str">
        <f>IF(ISERROR(FIND("住宅",B1)),"非住宅","住宅")</f>
        <v>非住宅</v>
      </c>
    </row>
    <row r="2" s="636" customFormat="1" ht="18" customHeight="1" spans="1:7">
      <c r="A2" s="647" t="s">
        <v>1008</v>
      </c>
      <c r="B2" s="2654">
        <f ca="1">ROUND(IF(D2="——",C52/10000,C52/10000-E2),4)</f>
        <v>1452.1928</v>
      </c>
      <c r="C2" s="649" t="s">
        <v>1009</v>
      </c>
      <c r="D2" s="650" t="s">
        <v>124</v>
      </c>
      <c r="E2" s="651" t="e">
        <f ca="1">SUMIF(INDIRECT("'"&amp;G2&amp;"'"&amp;"!A:A"),"承租人权益价值",INDIRECT("'"&amp;G2&amp;"'"&amp;"!c:c"))</f>
        <v>#REF!</v>
      </c>
      <c r="F2" s="652" t="s">
        <v>1009</v>
      </c>
      <c r="G2" s="653"/>
    </row>
    <row r="3" s="636" customFormat="1" ht="18" customHeight="1" spans="1:7">
      <c r="A3" s="654" t="s">
        <v>1010</v>
      </c>
      <c r="B3" s="655">
        <f ca="1">ROUND(B2*10000/(IF(B1="",'数据-汇总表'!E3,INDIRECT("'数据-取费表'!k"&amp;$G$1))),0)</f>
        <v>12683</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f ca="1">C6+C7+C8</f>
        <v>7166756.6</v>
      </c>
      <c r="D5" s="661" t="s">
        <v>1015</v>
      </c>
      <c r="E5" s="662" t="s">
        <v>1016</v>
      </c>
      <c r="F5" s="662" t="s">
        <v>910</v>
      </c>
      <c r="G5" s="663"/>
    </row>
    <row r="6" s="638" customFormat="1" ht="13.5" customHeight="1" spans="1:7">
      <c r="A6" s="664" t="s">
        <v>1017</v>
      </c>
      <c r="B6" s="665" t="s">
        <v>1018</v>
      </c>
      <c r="C6" s="666">
        <f>基准地价修正!D33*基准地价修正!C33</f>
        <v>6732423.6</v>
      </c>
      <c r="D6" s="667"/>
      <c r="E6" s="668"/>
      <c r="F6" s="668"/>
      <c r="G6" s="669"/>
    </row>
    <row r="7" s="638" customFormat="1" ht="13.5" customHeight="1" spans="1:7">
      <c r="A7" s="664" t="s">
        <v>1019</v>
      </c>
      <c r="B7" s="665" t="s">
        <v>1020</v>
      </c>
      <c r="C7" s="670">
        <f>ROUND(C6*F7,0)</f>
        <v>205339</v>
      </c>
      <c r="D7" s="670"/>
      <c r="E7" s="668"/>
      <c r="F7" s="671">
        <f>IF(项目基本情况!B8="出让",0,'数据-取费表'!B48+'数据-取费表'!B49)</f>
        <v>0.0305</v>
      </c>
      <c r="G7" s="669"/>
    </row>
    <row r="8" s="639" customFormat="1" ht="13" spans="1:7">
      <c r="A8" s="664" t="s">
        <v>1021</v>
      </c>
      <c r="B8" s="665" t="s">
        <v>1022</v>
      </c>
      <c r="C8" s="670">
        <f ca="1">IF(G8="已包含在土地购买价格中",0,C9+C10)</f>
        <v>228994</v>
      </c>
      <c r="D8" s="672"/>
      <c r="E8" s="670"/>
      <c r="F8" s="671"/>
      <c r="G8" s="673" t="s">
        <v>1023</v>
      </c>
    </row>
    <row r="9" s="638" customFormat="1" ht="13.5" customHeight="1" spans="1:7">
      <c r="A9" s="674" t="s">
        <v>1024</v>
      </c>
      <c r="B9" s="675" t="s">
        <v>1025</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1028</v>
      </c>
      <c r="B10" s="675" t="s">
        <v>1029</v>
      </c>
      <c r="C10" s="676">
        <f ca="1">ROUND(D10*E10,0)</f>
        <v>228994</v>
      </c>
      <c r="D10" s="677">
        <f ca="1">IF(B1="",'数据-汇总表'!E6,IF(INDIRECT("'数据-取费表'!c"&amp;$G$1)="住宅",INDIRECT("'数据-取费表'!s"&amp;$G$1),INDIRECT("'数据-取费表'!k"&amp;$G$1)+INDIRECT("'数据-取费表'!s"&amp;$G$1)))</f>
        <v>1144.97</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IF(G19="已包含在土地取得成本中","0",ROUND(D19*E19,0))</f>
        <v>0</v>
      </c>
      <c r="D19" s="662">
        <f ca="1">D9+D10</f>
        <v>1144.97</v>
      </c>
      <c r="E19" s="661">
        <f>'数据-取费表'!B31</f>
        <v>200</v>
      </c>
      <c r="F19" s="684"/>
      <c r="G19" s="673" t="s">
        <v>1048</v>
      </c>
    </row>
    <row r="20" s="638" customFormat="1" ht="13.5" customHeight="1" spans="1:7">
      <c r="A20" s="659" t="s">
        <v>1049</v>
      </c>
      <c r="B20" s="660" t="s">
        <v>1050</v>
      </c>
      <c r="C20" s="505">
        <f ca="1">ROUND((C5+C19)*F20,0)</f>
        <v>143335</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505">
        <f ca="1">ROUND(SUM(C23:C25),0)</f>
        <v>455669</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510">
        <f ca="1">ROUND(IF('数据-取费表'!B22&lt;=1,C5*F22*'数据-取费表'!B22,C5*(POWER((1+F22),'数据-取费表'!B22)-1)),0)</f>
        <v>451226</v>
      </c>
      <c r="D23" s="510"/>
      <c r="E23" s="510"/>
      <c r="F23" s="693"/>
      <c r="G23" s="694" t="s">
        <v>1059</v>
      </c>
    </row>
    <row r="24" s="638" customFormat="1" ht="13.5" customHeight="1" spans="1:7">
      <c r="A24" s="691" t="s">
        <v>1019</v>
      </c>
      <c r="B24" s="665" t="s">
        <v>1060</v>
      </c>
      <c r="C24" s="510">
        <f ca="1">ROUND(IF('数据-取费表'!B22&lt;=1,C19*F22*('数据-取费表'!B19/2+'数据-取费表'!B20),C19*(POWER((1+F22),('数据-取费表'!B19/2+'数据-取费表'!B20))-1)),0)</f>
        <v>0</v>
      </c>
      <c r="D24" s="510"/>
      <c r="E24" s="510"/>
      <c r="F24" s="693"/>
      <c r="G24" s="694" t="s">
        <v>1061</v>
      </c>
    </row>
    <row r="25" s="638" customFormat="1" ht="26" spans="1:7">
      <c r="A25" s="691" t="s">
        <v>1021</v>
      </c>
      <c r="B25" s="665" t="s">
        <v>1062</v>
      </c>
      <c r="C25" s="510">
        <f ca="1">ROUND(IF('数据-取费表'!B22&lt;=1,C20*F22*'数据-取费表'!B22/2,C20*(POWER((1+F22),'数据-取费表'!B22/2)-1)),0)</f>
        <v>4443</v>
      </c>
      <c r="D25" s="510"/>
      <c r="E25" s="695"/>
      <c r="F25" s="693"/>
      <c r="G25" s="696" t="s">
        <v>1063</v>
      </c>
    </row>
    <row r="26" s="638" customFormat="1" ht="13" spans="1:7">
      <c r="A26" s="691" t="s">
        <v>1064</v>
      </c>
      <c r="B26" s="665" t="s">
        <v>1065</v>
      </c>
      <c r="C26" s="510">
        <f ca="1">ROUND(IF('数据-取费表'!B22&lt;=1,F21*F22*'数据-取费表'!B22/2,F21*(POWER((1+F22),'数据-取费表'!B22/2)-1)),4)</f>
        <v>0.0006</v>
      </c>
      <c r="D26" s="510"/>
      <c r="E26" s="695"/>
      <c r="F26" s="693"/>
      <c r="G26" s="697"/>
    </row>
    <row r="27" s="638" customFormat="1" ht="26" spans="1:7">
      <c r="A27" s="659" t="s">
        <v>1066</v>
      </c>
      <c r="B27" s="698" t="s">
        <v>1067</v>
      </c>
      <c r="C27" s="699">
        <f ca="1">C28</f>
        <v>1096514</v>
      </c>
      <c r="D27" s="687">
        <f ca="1">C29</f>
        <v>0.003</v>
      </c>
      <c r="E27" s="688" t="s">
        <v>1054</v>
      </c>
      <c r="F27" s="700">
        <f ca="1">IF(B1="",'数据-取费表'!Q16,INDIRECT("'数据-取费表'!q"&amp;$G$1))</f>
        <v>0.15</v>
      </c>
      <c r="G27" s="701" t="s">
        <v>1068</v>
      </c>
    </row>
    <row r="28" s="638" customFormat="1" ht="13.5" customHeight="1" spans="1:7">
      <c r="A28" s="691" t="s">
        <v>1017</v>
      </c>
      <c r="B28" s="702" t="s">
        <v>1069</v>
      </c>
      <c r="C28" s="703">
        <f ca="1">ROUND((C5+C19+C20)*F27,0)</f>
        <v>1096514</v>
      </c>
      <c r="D28" s="687"/>
      <c r="E28" s="688"/>
      <c r="F28" s="700"/>
      <c r="G28" s="701"/>
    </row>
    <row r="29" s="638" customFormat="1" ht="13.5" customHeight="1" spans="1:7">
      <c r="A29" s="691" t="s">
        <v>1019</v>
      </c>
      <c r="B29" s="702" t="s">
        <v>1070</v>
      </c>
      <c r="C29" s="510">
        <f ca="1">ROUND(C21*F27,4)</f>
        <v>0.003</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f ca="1">ROUND((C5+C19+C20+C22+C27)/(1-C21-D22-D27-C30),0)</f>
        <v>9600557</v>
      </c>
      <c r="D31" s="705"/>
      <c r="E31" s="661"/>
      <c r="F31" s="706"/>
      <c r="G31" s="686" t="s">
        <v>1075</v>
      </c>
    </row>
    <row r="32" s="637" customFormat="1" ht="15.5" spans="1:7">
      <c r="A32" s="707" t="s">
        <v>1108</v>
      </c>
      <c r="B32" s="708"/>
      <c r="C32" s="708"/>
      <c r="D32" s="708"/>
      <c r="E32" s="708"/>
      <c r="F32" s="708"/>
      <c r="G32" s="709"/>
    </row>
    <row r="33" s="638" customFormat="1" ht="13.5" customHeight="1" spans="1:7">
      <c r="A33" s="659" t="s">
        <v>1013</v>
      </c>
      <c r="B33" s="660" t="s">
        <v>1109</v>
      </c>
      <c r="C33" s="710">
        <f ca="1">SUM(C34:C38)</f>
        <v>4436759</v>
      </c>
      <c r="D33" s="505"/>
      <c r="E33" s="662"/>
      <c r="F33" s="695"/>
      <c r="G33" s="686"/>
    </row>
    <row r="34" s="340" customFormat="1" ht="13.5" customHeight="1" spans="1:7">
      <c r="A34" s="691" t="s">
        <v>1017</v>
      </c>
      <c r="B34" s="665" t="s">
        <v>1078</v>
      </c>
      <c r="C34" s="670">
        <f ca="1">ROUND(IF(B1="",SUMPRODUCT('数据-取费表'!K6:K14,'数据-取费表'!L6:L14),INDIRECT("'数据-取费表'!l"&amp;$G$1)*INDIRECT("'数据-取费表'!k"&amp;$G$1)+'数据-取费表'!L14*INDIRECT("'数据-取费表'!S"&amp;$G$1)),0)</f>
        <v>4007395</v>
      </c>
      <c r="D34" s="667"/>
      <c r="E34" s="670"/>
      <c r="F34" s="711"/>
      <c r="G34" s="669"/>
    </row>
    <row r="35" ht="13.5" customHeight="1" spans="1:7">
      <c r="A35" s="691" t="s">
        <v>1019</v>
      </c>
      <c r="B35" s="665" t="s">
        <v>1080</v>
      </c>
      <c r="C35" s="670">
        <f ca="1">ROUND(C34*F35,0)</f>
        <v>120222</v>
      </c>
      <c r="D35" s="670"/>
      <c r="E35" s="670"/>
      <c r="F35" s="712">
        <f>'数据-取费表'!B33</f>
        <v>0.03</v>
      </c>
      <c r="G35" s="669" t="s">
        <v>1081</v>
      </c>
    </row>
    <row r="36" ht="26" spans="1:7">
      <c r="A36" s="691" t="s">
        <v>1021</v>
      </c>
      <c r="B36" s="665" t="s">
        <v>1082</v>
      </c>
      <c r="C36" s="670">
        <f ca="1">ROUND(IF(B1="",SUM('数据-取费表'!AP6:AP13)*F36,IF(INDIRECT("'数据-取费表'!c"&amp;$G$1)="住宅",INDIRECT("'数据-取费表'!k"&amp;$G$1)*INDIRECT("'数据-取费表'!l"&amp;$G$1)*F36,0)),0)</f>
        <v>0</v>
      </c>
      <c r="D36" s="670"/>
      <c r="E36" s="670"/>
      <c r="F36" s="712">
        <f>'数据-取费表'!B34</f>
        <v>0</v>
      </c>
      <c r="G36" s="713" t="s">
        <v>1083</v>
      </c>
    </row>
    <row r="37" s="340" customFormat="1" ht="13.5" customHeight="1" spans="1:7">
      <c r="A37" s="691" t="s">
        <v>1064</v>
      </c>
      <c r="B37" s="665" t="s">
        <v>1084</v>
      </c>
      <c r="C37" s="703">
        <f ca="1">ROUND(E37*D37,0)</f>
        <v>228994</v>
      </c>
      <c r="D37" s="667">
        <f ca="1">D19</f>
        <v>1144.97</v>
      </c>
      <c r="E37" s="703">
        <f>'数据-取费表'!B35</f>
        <v>200</v>
      </c>
      <c r="F37" s="712"/>
      <c r="G37" s="714"/>
    </row>
    <row r="38" ht="13.5" customHeight="1" spans="1:7">
      <c r="A38" s="691" t="s">
        <v>1086</v>
      </c>
      <c r="B38" s="665" t="s">
        <v>947</v>
      </c>
      <c r="C38" s="670">
        <f ca="1">ROUND(C34*F38,0)</f>
        <v>80148</v>
      </c>
      <c r="D38" s="670"/>
      <c r="E38" s="670"/>
      <c r="F38" s="712">
        <f>'数据-取费表'!B36</f>
        <v>0.02</v>
      </c>
      <c r="G38" s="669" t="s">
        <v>1081</v>
      </c>
    </row>
    <row r="39" s="638" customFormat="1" ht="13.5" customHeight="1" spans="1:7">
      <c r="A39" s="659" t="s">
        <v>1046</v>
      </c>
      <c r="B39" s="660" t="s">
        <v>1050</v>
      </c>
      <c r="C39" s="505">
        <f ca="1">ROUND(C33*F20,0)</f>
        <v>88735</v>
      </c>
      <c r="D39" s="505"/>
      <c r="E39" s="505"/>
      <c r="F39" s="685">
        <f>F20</f>
        <v>0.02</v>
      </c>
      <c r="G39" s="686" t="s">
        <v>1087</v>
      </c>
    </row>
    <row r="40" s="638" customFormat="1" ht="13.5" customHeight="1" spans="1:7">
      <c r="A40" s="659" t="s">
        <v>1049</v>
      </c>
      <c r="B40" s="660" t="s">
        <v>1053</v>
      </c>
      <c r="C40" s="687">
        <f>F21</f>
        <v>0.02</v>
      </c>
      <c r="D40" s="688" t="s">
        <v>1088</v>
      </c>
      <c r="E40" s="505"/>
      <c r="F40" s="685">
        <f>F21</f>
        <v>0.02</v>
      </c>
      <c r="G40" s="686" t="s">
        <v>1089</v>
      </c>
    </row>
    <row r="41" s="638" customFormat="1" ht="13.5" customHeight="1" spans="1:7">
      <c r="A41" s="659" t="s">
        <v>1052</v>
      </c>
      <c r="B41" s="660" t="s">
        <v>1057</v>
      </c>
      <c r="C41" s="505">
        <f ca="1">ROUND(SUM(C42:C43),0)</f>
        <v>140291</v>
      </c>
      <c r="D41" s="687">
        <f ca="1">C44</f>
        <v>0.0006</v>
      </c>
      <c r="E41" s="688" t="s">
        <v>1088</v>
      </c>
      <c r="F41" s="690">
        <f ca="1">F22</f>
        <v>0.031</v>
      </c>
      <c r="G41" s="686" t="str">
        <f>IF('数据-取费表'!B22&lt;=1,"单利计息","复利计息")</f>
        <v>复利计息</v>
      </c>
    </row>
    <row r="42" ht="13.5" customHeight="1" spans="1:7">
      <c r="A42" s="691" t="s">
        <v>1017</v>
      </c>
      <c r="B42" s="665" t="s">
        <v>1058</v>
      </c>
      <c r="C42" s="510">
        <f ca="1">ROUND(IF('数据-取费表'!B22&lt;=1,C33*F22*'数据-取费表'!B20/2,C33*(POWER((1+F22),'数据-取费表'!B20/2)-1)),0)</f>
        <v>137540</v>
      </c>
      <c r="D42" s="510"/>
      <c r="E42" s="510"/>
      <c r="F42" s="693"/>
      <c r="G42" s="715" t="s">
        <v>1110</v>
      </c>
    </row>
    <row r="43" ht="13.5" customHeight="1" spans="1:7">
      <c r="A43" s="691" t="s">
        <v>1019</v>
      </c>
      <c r="B43" s="665" t="s">
        <v>1060</v>
      </c>
      <c r="C43" s="510">
        <f ca="1">ROUND(IF('数据-取费表'!B22&lt;=1,C39*F22*'数据-取费表'!B20/2,C39*(POWER((1+F22),'数据-取费表'!B20/2)-1)),0)</f>
        <v>2751</v>
      </c>
      <c r="D43" s="510"/>
      <c r="E43" s="510"/>
      <c r="F43" s="693"/>
      <c r="G43" s="716"/>
    </row>
    <row r="44" ht="13.5" customHeight="1" spans="1:7">
      <c r="A44" s="691" t="s">
        <v>1021</v>
      </c>
      <c r="B44" s="665" t="s">
        <v>1062</v>
      </c>
      <c r="C44" s="510">
        <f ca="1">ROUND(IF('数据-取费表'!B22&lt;=1,C40*F22*'数据-取费表'!B20/2,C40*(POWER((1+F22),'数据-取费表'!B20/2)-1)),4)</f>
        <v>0.0006</v>
      </c>
      <c r="D44" s="510"/>
      <c r="E44" s="510"/>
      <c r="F44" s="693"/>
      <c r="G44" s="717"/>
    </row>
    <row r="45" s="638" customFormat="1" ht="13.5" customHeight="1" spans="1:7">
      <c r="A45" s="659" t="s">
        <v>1056</v>
      </c>
      <c r="B45" s="698" t="s">
        <v>1067</v>
      </c>
      <c r="C45" s="699">
        <f ca="1">C46</f>
        <v>678824</v>
      </c>
      <c r="D45" s="687">
        <f ca="1">C47</f>
        <v>0.003</v>
      </c>
      <c r="E45" s="688" t="s">
        <v>1088</v>
      </c>
      <c r="F45" s="700">
        <f ca="1">F27</f>
        <v>0.15</v>
      </c>
      <c r="G45" s="701" t="s">
        <v>1091</v>
      </c>
    </row>
    <row r="46" s="638" customFormat="1" ht="13.5" customHeight="1" spans="1:7">
      <c r="A46" s="691" t="s">
        <v>1017</v>
      </c>
      <c r="B46" s="702" t="s">
        <v>1092</v>
      </c>
      <c r="C46" s="703">
        <f ca="1">ROUND((C33+C39)*F27,0)</f>
        <v>678824</v>
      </c>
      <c r="D46" s="718"/>
      <c r="E46" s="688"/>
      <c r="F46" s="700"/>
      <c r="G46" s="701"/>
    </row>
    <row r="47" s="638" customFormat="1" ht="13.5" customHeight="1" spans="1:7">
      <c r="A47" s="691" t="s">
        <v>1019</v>
      </c>
      <c r="B47" s="702" t="s">
        <v>1093</v>
      </c>
      <c r="C47" s="510">
        <f ca="1">ROUND(C40*F27,4)</f>
        <v>0.003</v>
      </c>
      <c r="D47" s="718"/>
      <c r="E47" s="688"/>
      <c r="F47" s="700"/>
      <c r="G47" s="701"/>
    </row>
    <row r="48" s="638" customFormat="1" ht="13.5" customHeight="1" spans="1:7">
      <c r="A48" s="659" t="s">
        <v>1066</v>
      </c>
      <c r="B48" s="660" t="s">
        <v>1072</v>
      </c>
      <c r="C48" s="1097">
        <f>ROUND(F30/(1+'数据-取费表'!C42),4)</f>
        <v>0.0533</v>
      </c>
      <c r="D48" s="688" t="s">
        <v>1088</v>
      </c>
      <c r="E48" s="505"/>
      <c r="F48" s="690">
        <f>F30</f>
        <v>0.056</v>
      </c>
      <c r="G48" s="686" t="s">
        <v>1094</v>
      </c>
    </row>
    <row r="49" ht="16.5" customHeight="1" spans="1:7">
      <c r="A49" s="659" t="s">
        <v>1071</v>
      </c>
      <c r="B49" s="660" t="s">
        <v>1111</v>
      </c>
      <c r="C49" s="505">
        <f ca="1">ROUND((C33+C39+C41+C45)/(1-C40-D41-D45-C48),0)</f>
        <v>5789848</v>
      </c>
      <c r="D49" s="505"/>
      <c r="E49" s="505"/>
      <c r="F49" s="719"/>
      <c r="G49" s="686" t="s">
        <v>1096</v>
      </c>
    </row>
    <row r="50" s="340" customFormat="1" ht="13" spans="1:7">
      <c r="A50" s="659" t="s">
        <v>1097</v>
      </c>
      <c r="B50" s="660" t="s">
        <v>1098</v>
      </c>
      <c r="C50" s="505"/>
      <c r="D50" s="505"/>
      <c r="E50" s="505"/>
      <c r="F50" s="719">
        <f>IF('数据-取费表'!B24=0,'数据-取费表'!N16,1)</f>
        <v>0.85</v>
      </c>
      <c r="G50" s="701"/>
    </row>
    <row r="51" ht="16.5" customHeight="1" spans="1:7">
      <c r="A51" s="659" t="s">
        <v>1100</v>
      </c>
      <c r="B51" s="660" t="s">
        <v>1112</v>
      </c>
      <c r="C51" s="505">
        <f ca="1">ROUND(C49*F50,0)</f>
        <v>4921371</v>
      </c>
      <c r="D51" s="505"/>
      <c r="E51" s="505"/>
      <c r="F51" s="719"/>
      <c r="G51" s="686" t="s">
        <v>1102</v>
      </c>
    </row>
    <row r="52" s="637" customFormat="1" ht="16.25" spans="1:7">
      <c r="A52" s="720" t="s">
        <v>1103</v>
      </c>
      <c r="B52" s="721"/>
      <c r="C52" s="722">
        <f ca="1">C31+C51</f>
        <v>14521928</v>
      </c>
      <c r="D52" s="721"/>
      <c r="E52" s="721"/>
      <c r="F52" s="721"/>
      <c r="G52" s="723"/>
    </row>
    <row r="55" ht="15.5" spans="2:3">
      <c r="B55" s="630" t="s">
        <v>1104</v>
      </c>
      <c r="C55" s="724"/>
    </row>
    <row r="56" ht="13" spans="2:3">
      <c r="B56" s="622" t="s">
        <v>1105</v>
      </c>
      <c r="C56" s="633">
        <f ca="1">1-C57</f>
        <v>0.661</v>
      </c>
    </row>
    <row r="57" ht="13" spans="2:3">
      <c r="B57" s="622" t="s">
        <v>1106</v>
      </c>
      <c r="C57" s="632">
        <f ca="1">ROUND(C51/C52,3)</f>
        <v>0.339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1113</v>
      </c>
      <c r="B1" s="458"/>
      <c r="C1" s="2573"/>
      <c r="D1" s="2574"/>
      <c r="E1" s="2575"/>
      <c r="F1" s="2575"/>
      <c r="G1" s="2576"/>
      <c r="H1" s="2575"/>
      <c r="I1" s="2575"/>
      <c r="J1" s="2575"/>
      <c r="K1" s="2641">
        <f>MATCH(C1,'数据-取费表'!A6:A16,0)+5</f>
        <v>7</v>
      </c>
    </row>
    <row r="2" ht="18" customHeight="1" spans="1:11">
      <c r="A2" s="647" t="s">
        <v>1008</v>
      </c>
      <c r="B2" s="655">
        <f ca="1">C32</f>
        <v>-25</v>
      </c>
      <c r="C2" s="2577" t="s">
        <v>1114</v>
      </c>
      <c r="D2" s="2577"/>
      <c r="E2" s="2575"/>
      <c r="F2" s="2575"/>
      <c r="G2" s="2575"/>
      <c r="H2" s="2575"/>
      <c r="I2" s="2575"/>
      <c r="J2" s="2575"/>
      <c r="K2" s="2575"/>
    </row>
    <row r="3" ht="18" customHeight="1" spans="1:11">
      <c r="A3" s="654" t="s">
        <v>1010</v>
      </c>
      <c r="B3" s="655">
        <f ca="1">ROUND(B2*10000/IF(C1="",'数据-汇总表'!E3,INDIRECT("'数据-取费表'!K"&amp;$K$1)),0)</f>
        <v>-218</v>
      </c>
      <c r="C3" s="2577" t="s">
        <v>1115</v>
      </c>
      <c r="D3" s="2577"/>
      <c r="E3" s="2575"/>
      <c r="F3" s="2575"/>
      <c r="G3" s="2575"/>
      <c r="H3" s="2575"/>
      <c r="I3" s="2575"/>
      <c r="J3" s="2575"/>
      <c r="K3" s="2575"/>
    </row>
    <row r="4" s="2563" customFormat="1" ht="16.5" customHeight="1" spans="1:11">
      <c r="A4" s="2578" t="s">
        <v>1116</v>
      </c>
      <c r="B4" s="2579"/>
      <c r="C4" s="2580">
        <f>SUM(C8:K8)</f>
        <v>0</v>
      </c>
      <c r="D4" s="2579"/>
      <c r="E4" s="2579"/>
      <c r="F4" s="2579"/>
      <c r="G4" s="2579"/>
      <c r="H4" s="2579"/>
      <c r="I4" s="2579"/>
      <c r="J4" s="2579"/>
      <c r="K4" s="2642"/>
    </row>
    <row r="5" s="2564" customFormat="1" ht="14" spans="1:33">
      <c r="A5" s="795" t="s">
        <v>1117</v>
      </c>
      <c r="B5" s="2581" t="s">
        <v>1118</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915</v>
      </c>
      <c r="B6" s="420" t="s">
        <v>1119</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919</v>
      </c>
      <c r="B7" s="420" t="s">
        <v>481</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966</v>
      </c>
      <c r="B8" s="2587" t="s">
        <v>1120</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1121</v>
      </c>
      <c r="B9" s="2579"/>
      <c r="C9" s="2579"/>
      <c r="D9" s="2579"/>
      <c r="E9" s="2579"/>
      <c r="F9" s="2579"/>
      <c r="G9" s="2579"/>
      <c r="H9" s="2579"/>
      <c r="I9" s="2579"/>
      <c r="J9" s="2579"/>
      <c r="K9" s="2642"/>
    </row>
    <row r="10" s="2565" customFormat="1" ht="13.5" customHeight="1" spans="1:11">
      <c r="A10" s="795" t="s">
        <v>1117</v>
      </c>
      <c r="B10" s="2590" t="s">
        <v>1118</v>
      </c>
      <c r="C10" s="2591" t="s">
        <v>1122</v>
      </c>
      <c r="D10" s="2592" t="s">
        <v>1123</v>
      </c>
      <c r="E10" s="2592" t="s">
        <v>1124</v>
      </c>
      <c r="F10" s="2592" t="s">
        <v>1125</v>
      </c>
      <c r="G10" s="2590"/>
      <c r="H10" s="2593"/>
      <c r="I10" s="2593"/>
      <c r="J10" s="2593"/>
      <c r="K10" s="2647"/>
    </row>
    <row r="11" s="2566" customFormat="1" ht="13.5" customHeight="1" spans="1:11">
      <c r="A11" s="2594" t="s">
        <v>1024</v>
      </c>
      <c r="B11" s="2595" t="s">
        <v>1126</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1028</v>
      </c>
      <c r="B12" s="2595" t="s">
        <v>1127</v>
      </c>
      <c r="C12" s="413">
        <f ca="1">ROUND(C11*F12,0)</f>
        <v>0</v>
      </c>
      <c r="D12" s="2597"/>
      <c r="E12" s="424"/>
      <c r="F12" s="2598">
        <f>'数据-取费表'!B33</f>
        <v>0.03</v>
      </c>
      <c r="G12" s="2590" t="s">
        <v>1128</v>
      </c>
      <c r="H12" s="2593"/>
      <c r="I12" s="2593"/>
      <c r="J12" s="2593"/>
      <c r="K12" s="2647"/>
    </row>
    <row r="13" s="2566" customFormat="1" ht="13.5" customHeight="1" spans="1:11">
      <c r="A13" s="2594" t="s">
        <v>1129</v>
      </c>
      <c r="B13" s="2595" t="s">
        <v>1130</v>
      </c>
      <c r="C13" s="413">
        <f ca="1">ROUND(IF(C1="",SUMIF('数据-取费表'!C:C,"住宅",'数据-取费表'!P:P)*F13,IF(INDIRECT("'数据-取费表'!c"&amp;$K$1)="住宅",INDIRECT("'数据-取费表'!P"&amp;$K$1)*F13,0)),0)</f>
        <v>0</v>
      </c>
      <c r="D13" s="2599"/>
      <c r="E13" s="424"/>
      <c r="F13" s="2598">
        <f>'数据-取费表'!B34</f>
        <v>0</v>
      </c>
      <c r="G13" s="2590" t="s">
        <v>1131</v>
      </c>
      <c r="H13" s="2593"/>
      <c r="I13" s="2593"/>
      <c r="J13" s="2593"/>
      <c r="K13" s="2647"/>
    </row>
    <row r="14" s="2567" customFormat="1" ht="13.5" customHeight="1" spans="1:33">
      <c r="A14" s="2594" t="s">
        <v>1132</v>
      </c>
      <c r="B14" s="2595" t="s">
        <v>1133</v>
      </c>
      <c r="C14" s="413">
        <f ca="1">ROUND(D14*E14*F11/10000,0)</f>
        <v>0</v>
      </c>
      <c r="D14" s="2599">
        <f ca="1">IF(C1="",'数据-汇总表'!E3,INDIRECT("'数据-取费表'!K"&amp;$K$1)+INDIRECT("'数据-取费表'!S"&amp;$K$1))</f>
        <v>1144.97</v>
      </c>
      <c r="E14" s="413">
        <f>'数据-取费表'!B35</f>
        <v>200</v>
      </c>
      <c r="F14" s="2600"/>
      <c r="G14" s="2590" t="s">
        <v>1134</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1135</v>
      </c>
      <c r="B15" s="2595" t="s">
        <v>1136</v>
      </c>
      <c r="C15" s="2601">
        <f ca="1">ROUND(C11*F15,0)</f>
        <v>0</v>
      </c>
      <c r="D15" s="2602"/>
      <c r="E15" s="2601"/>
      <c r="F15" s="2598">
        <f>'数据-取费表'!B36</f>
        <v>0.02</v>
      </c>
      <c r="G15" s="420" t="s">
        <v>1137</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938</v>
      </c>
      <c r="B16" s="2595" t="s">
        <v>1138</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943</v>
      </c>
      <c r="B17" s="2595" t="s">
        <v>1139</v>
      </c>
      <c r="C17" s="413">
        <f ca="1">ROUND(D17*E17/10000,0)</f>
        <v>0</v>
      </c>
      <c r="D17" s="2599">
        <f ca="1">D14</f>
        <v>1144.97</v>
      </c>
      <c r="E17" s="413">
        <f>'数据-取费表'!B32</f>
        <v>0</v>
      </c>
      <c r="F17" s="2602"/>
      <c r="G17" s="420" t="s">
        <v>1140</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1141</v>
      </c>
      <c r="B18" s="2595" t="s">
        <v>1142</v>
      </c>
      <c r="C18" s="413">
        <f ca="1">C19+C20-IF(C1="",'数据-取费表'!B29,IF(G18="已全部缴纳",C19+C20,H18))</f>
        <v>23</v>
      </c>
      <c r="D18" s="2599"/>
      <c r="E18" s="413"/>
      <c r="F18" s="2600"/>
      <c r="G18" s="2604"/>
      <c r="H18" s="2605"/>
      <c r="I18" s="2648" t="s">
        <v>1143</v>
      </c>
      <c r="J18" s="537"/>
      <c r="K18" s="538"/>
    </row>
    <row r="19" s="2566" customFormat="1" ht="13.5" customHeight="1" spans="1:11">
      <c r="A19" s="2594" t="s">
        <v>1024</v>
      </c>
      <c r="B19" s="2595" t="s">
        <v>468</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1028</v>
      </c>
      <c r="B20" s="2595" t="s">
        <v>1144</v>
      </c>
      <c r="C20" s="413">
        <f ca="1">ROUND(D20*E20/10000,0)</f>
        <v>23</v>
      </c>
      <c r="D20" s="2599">
        <f ca="1">IF(C1="",'数据-汇总表'!E6,IF(INDIRECT("'数据-取费表'!c"&amp;$K$1)="住宅",INDIRECT("'数据-取费表'!s"&amp;$K$1),INDIRECT("'数据-取费表'!k"&amp;$K$1)+INDIRECT("'数据-取费表'!s"&amp;$K$1)))</f>
        <v>1144.97</v>
      </c>
      <c r="E20" s="413">
        <f>'数据-取费表'!B28</f>
        <v>200</v>
      </c>
      <c r="F20" s="2600"/>
      <c r="G20" s="536"/>
      <c r="H20" s="926"/>
      <c r="I20" s="926"/>
      <c r="J20" s="926"/>
      <c r="K20" s="2649"/>
    </row>
    <row r="21" s="2566" customFormat="1" ht="13.5" customHeight="1" spans="1:11">
      <c r="A21" s="2583" t="s">
        <v>915</v>
      </c>
      <c r="B21" s="2607" t="s">
        <v>1145</v>
      </c>
      <c r="C21" s="2608">
        <f ca="1">C16+C17+C18</f>
        <v>23</v>
      </c>
      <c r="D21" s="2609"/>
      <c r="E21" s="2610"/>
      <c r="F21" s="2610"/>
      <c r="G21" s="420" t="s">
        <v>1146</v>
      </c>
      <c r="H21" s="537"/>
      <c r="I21" s="537"/>
      <c r="J21" s="537"/>
      <c r="K21" s="538"/>
    </row>
    <row r="22" s="2566" customFormat="1" ht="13.5" customHeight="1" spans="1:11">
      <c r="A22" s="2583" t="s">
        <v>919</v>
      </c>
      <c r="B22" s="2607" t="s">
        <v>1147</v>
      </c>
      <c r="C22" s="2608">
        <f ca="1">ROUND(C21*F22,0)</f>
        <v>0</v>
      </c>
      <c r="D22" s="2610"/>
      <c r="E22" s="2610"/>
      <c r="F22" s="2611">
        <f>'数据-取费表'!B37</f>
        <v>0.02</v>
      </c>
      <c r="G22" s="2590" t="s">
        <v>1148</v>
      </c>
      <c r="H22" s="2593"/>
      <c r="I22" s="2593"/>
      <c r="J22" s="2593"/>
      <c r="K22" s="2647"/>
    </row>
    <row r="23" s="2566" customFormat="1" ht="13.5" customHeight="1" spans="1:11">
      <c r="A23" s="2583" t="s">
        <v>966</v>
      </c>
      <c r="B23" s="2607" t="s">
        <v>1149</v>
      </c>
      <c r="C23" s="2608">
        <f ca="1">ROUND(C4*F23*F11,0)</f>
        <v>0</v>
      </c>
      <c r="D23" s="2610"/>
      <c r="E23" s="2610"/>
      <c r="F23" s="2611">
        <f>'数据-取费表'!B38</f>
        <v>0.02</v>
      </c>
      <c r="G23" s="2590" t="s">
        <v>1150</v>
      </c>
      <c r="H23" s="2593"/>
      <c r="I23" s="2593"/>
      <c r="J23" s="2593"/>
      <c r="K23" s="2647"/>
    </row>
    <row r="24" s="2566" customFormat="1" ht="13.5" customHeight="1" spans="1:11">
      <c r="A24" s="2583" t="s">
        <v>970</v>
      </c>
      <c r="B24" s="2607" t="s">
        <v>1151</v>
      </c>
      <c r="C24" s="2612">
        <f>ROUND(F24/(1+'数据-取费表'!C42),4)</f>
        <v>0.029</v>
      </c>
      <c r="D24" s="2610" t="s">
        <v>1152</v>
      </c>
      <c r="E24" s="2610"/>
      <c r="F24" s="2611">
        <f>IF(项目基本情况!B8="出让",0,'数据-取费表'!B48+'数据-取费表'!B49)</f>
        <v>0.0305</v>
      </c>
      <c r="G24" s="2590" t="s">
        <v>1153</v>
      </c>
      <c r="H24" s="2613"/>
      <c r="I24" s="2613"/>
      <c r="J24" s="2613"/>
      <c r="K24" s="2650"/>
    </row>
    <row r="25" s="2566" customFormat="1" ht="13.5" customHeight="1" spans="1:11">
      <c r="A25" s="2583" t="s">
        <v>974</v>
      </c>
      <c r="B25" s="2609" t="s">
        <v>1154</v>
      </c>
      <c r="C25" s="2614">
        <f ca="1">C27</f>
        <v>0</v>
      </c>
      <c r="D25" s="2612">
        <f ca="1">C26</f>
        <v>0</v>
      </c>
      <c r="E25" s="2615" t="s">
        <v>1152</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938</v>
      </c>
      <c r="B26" s="2617" t="s">
        <v>1155</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943</v>
      </c>
      <c r="B27" s="2617" t="s">
        <v>1156</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975</v>
      </c>
      <c r="B28" s="2624" t="s">
        <v>1157</v>
      </c>
      <c r="C28" s="2625">
        <f ca="1">C30</f>
        <v>3</v>
      </c>
      <c r="D28" s="2612">
        <f ca="1">C29</f>
        <v>0</v>
      </c>
      <c r="E28" s="2615" t="s">
        <v>1152</v>
      </c>
      <c r="F28" s="1929">
        <f ca="1">IF(C1="",'数据-取费表'!Q16,INDIRECT("'数据-取费表'!q"&amp;$K$1))</f>
        <v>0.15</v>
      </c>
      <c r="G28" s="2626"/>
      <c r="H28" s="2613"/>
      <c r="I28" s="2613"/>
      <c r="J28" s="2613"/>
      <c r="K28" s="2650"/>
    </row>
    <row r="29" s="2570" customFormat="1" ht="13.5" customHeight="1" spans="1:11">
      <c r="A29" s="2594" t="s">
        <v>938</v>
      </c>
      <c r="B29" s="2627" t="s">
        <v>1158</v>
      </c>
      <c r="C29" s="2619">
        <f ca="1">ROUND((1+C24)*F28*'数据-取费表'!B24/'数据-取费表'!B20,4)</f>
        <v>0</v>
      </c>
      <c r="D29" s="2619"/>
      <c r="E29" s="2620"/>
      <c r="F29" s="2628"/>
      <c r="G29" s="420" t="s">
        <v>1159</v>
      </c>
      <c r="H29" s="537"/>
      <c r="I29" s="537"/>
      <c r="J29" s="537"/>
      <c r="K29" s="538"/>
    </row>
    <row r="30" s="2570" customFormat="1" ht="13.5" customHeight="1" spans="1:11">
      <c r="A30" s="2594" t="s">
        <v>943</v>
      </c>
      <c r="B30" s="2627" t="s">
        <v>1160</v>
      </c>
      <c r="C30" s="2629">
        <f ca="1">ROUND((C21+C22+C23)*F28,0)</f>
        <v>3</v>
      </c>
      <c r="D30" s="2619"/>
      <c r="E30" s="2620"/>
      <c r="F30" s="2628"/>
      <c r="G30" s="420"/>
      <c r="H30" s="537"/>
      <c r="I30" s="537"/>
      <c r="J30" s="537"/>
      <c r="K30" s="538"/>
    </row>
    <row r="31" s="2566" customFormat="1" ht="13.5" customHeight="1" spans="1:11">
      <c r="A31" s="2630" t="s">
        <v>1161</v>
      </c>
      <c r="B31" s="2631" t="s">
        <v>1162</v>
      </c>
      <c r="C31" s="2632">
        <f>ROUND(C4*F31/(1+'数据-取费表'!C42),0)</f>
        <v>0</v>
      </c>
      <c r="D31" s="2633"/>
      <c r="E31" s="2634"/>
      <c r="F31" s="2635">
        <f>'数据-取费表'!B41</f>
        <v>0.056</v>
      </c>
      <c r="G31" s="2636" t="s">
        <v>1163</v>
      </c>
      <c r="H31" s="2637"/>
      <c r="I31" s="2637"/>
      <c r="J31" s="2637"/>
      <c r="K31" s="2651"/>
    </row>
    <row r="32" s="2565" customFormat="1" ht="13.5" customHeight="1" spans="1:11">
      <c r="A32" s="770" t="s">
        <v>1164</v>
      </c>
      <c r="B32" s="2638"/>
      <c r="C32" s="2639">
        <f ca="1">ROUND((C4-C21-C22-C23-C25-C28-C31)/(1+C24+D25+D28),0)</f>
        <v>-25</v>
      </c>
      <c r="D32" s="2638"/>
      <c r="E32" s="2638"/>
      <c r="F32" s="2638"/>
      <c r="G32" s="2640" t="s">
        <v>1165</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213" t="s">
        <v>1167</v>
      </c>
      <c r="C1" s="2102" t="s">
        <v>1168</v>
      </c>
      <c r="D1" s="2061" t="s">
        <v>675</v>
      </c>
      <c r="E1" s="2214" t="s">
        <v>1169</v>
      </c>
      <c r="F1" s="2063" t="s">
        <v>1170</v>
      </c>
      <c r="G1" s="2064" t="s">
        <v>1171</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1008</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1010</v>
      </c>
      <c r="B3" s="1688">
        <f ca="1">IF(C2="——",C49,ROUND(B2*10000/D3,0))</f>
        <v>60000</v>
      </c>
      <c r="C3" s="2071" t="s">
        <v>1172</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86"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1186</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1187</v>
      </c>
      <c r="Q7" s="1906"/>
      <c r="R7" s="1907" t="s">
        <v>1188</v>
      </c>
      <c r="S7" s="1908">
        <f t="shared" ref="S7:S15" si="0">F7</f>
        <v>100</v>
      </c>
      <c r="T7" s="1907" t="s">
        <v>1188</v>
      </c>
      <c r="U7" s="1908">
        <f t="shared" ref="U7:U15" si="1">H7</f>
        <v>100</v>
      </c>
      <c r="V7" s="1907" t="s">
        <v>1188</v>
      </c>
      <c r="W7" s="1908">
        <f t="shared" ref="W7:W15" si="2">J7</f>
        <v>100</v>
      </c>
      <c r="X7" s="1909"/>
      <c r="Y7" s="1853" t="s">
        <v>1187</v>
      </c>
      <c r="Z7" s="1910"/>
      <c r="AA7" s="1923">
        <f>D7/F7</f>
        <v>1</v>
      </c>
      <c r="AB7" s="1923">
        <f>D7/H7</f>
        <v>1</v>
      </c>
      <c r="AC7" s="1923">
        <f>D7/J7</f>
        <v>1</v>
      </c>
    </row>
    <row r="8" s="1671" customFormat="1" ht="14.75" spans="1:29">
      <c r="A8" s="1708" t="s">
        <v>1189</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46" si="3">D8/F8</f>
        <v>1</v>
      </c>
      <c r="AB8" s="1923">
        <f t="shared" ref="AB8:AB46" si="4">D8/H8</f>
        <v>1</v>
      </c>
      <c r="AC8" s="1923">
        <f t="shared" ref="AC8:AC46" si="5">D8/J8</f>
        <v>1</v>
      </c>
    </row>
    <row r="9" s="1671" customFormat="1" spans="1:29">
      <c r="A9" s="1716" t="s">
        <v>1191</v>
      </c>
      <c r="B9" s="1717" t="s">
        <v>1192</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2031" t="s">
        <v>1198</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1199</v>
      </c>
      <c r="Q15" s="1304" t="str">
        <f t="shared" si="6"/>
        <v>商业繁华度</v>
      </c>
      <c r="R15" s="1911" t="s">
        <v>1188</v>
      </c>
      <c r="S15" s="1912">
        <f t="shared" si="0"/>
        <v>100</v>
      </c>
      <c r="T15" s="1911" t="s">
        <v>1188</v>
      </c>
      <c r="U15" s="1912">
        <f t="shared" si="1"/>
        <v>100</v>
      </c>
      <c r="V15" s="1911" t="s">
        <v>1188</v>
      </c>
      <c r="W15" s="1912">
        <f t="shared" si="2"/>
        <v>100</v>
      </c>
      <c r="X15" s="1899"/>
      <c r="Y15" s="1864" t="s">
        <v>1199</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1200</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1202</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1203</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1188</v>
      </c>
      <c r="S23" s="1912">
        <f>F23</f>
        <v>100</v>
      </c>
      <c r="T23" s="1911" t="s">
        <v>1188</v>
      </c>
      <c r="U23" s="1912">
        <f>H23</f>
        <v>100</v>
      </c>
      <c r="V23" s="1911" t="s">
        <v>1188</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1204</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1188</v>
      </c>
      <c r="S25" s="1912">
        <f>F25</f>
        <v>100</v>
      </c>
      <c r="T25" s="1911" t="s">
        <v>1188</v>
      </c>
      <c r="U25" s="1912">
        <f>H25</f>
        <v>100</v>
      </c>
      <c r="V25" s="1911" t="s">
        <v>1188</v>
      </c>
      <c r="W25" s="1912">
        <f>J25</f>
        <v>100</v>
      </c>
      <c r="X25" s="1899"/>
      <c r="Y25" s="1865"/>
      <c r="Z25" s="1886" t="str">
        <f>Q25</f>
        <v>临街状况</v>
      </c>
      <c r="AA25" s="1886">
        <f t="shared" si="3"/>
        <v>1</v>
      </c>
      <c r="AB25" s="1886">
        <f t="shared" si="4"/>
        <v>1</v>
      </c>
      <c r="AC25" s="1886">
        <f t="shared" si="5"/>
        <v>1</v>
      </c>
    </row>
    <row r="26" ht="15.5" spans="1:29">
      <c r="A26" s="1724"/>
      <c r="B26" s="1972" t="s">
        <v>1205</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1188</v>
      </c>
      <c r="S26" s="1912">
        <f>F26</f>
        <v>100</v>
      </c>
      <c r="T26" s="1911" t="s">
        <v>1188</v>
      </c>
      <c r="U26" s="1912">
        <f>H26</f>
        <v>100</v>
      </c>
      <c r="V26" s="1911" t="s">
        <v>1188</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1206</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1188</v>
      </c>
      <c r="S27" s="1908">
        <f>F27</f>
        <v>100</v>
      </c>
      <c r="T27" s="1907" t="s">
        <v>1188</v>
      </c>
      <c r="U27" s="1908">
        <f>H27</f>
        <v>100</v>
      </c>
      <c r="V27" s="1907" t="s">
        <v>1188</v>
      </c>
      <c r="W27" s="1908">
        <f>J27</f>
        <v>100</v>
      </c>
      <c r="X27" s="1909"/>
      <c r="Y27" s="1865"/>
      <c r="Z27" s="1923" t="str">
        <f>Q27</f>
        <v>人流量</v>
      </c>
      <c r="AA27" s="1886">
        <f t="shared" si="3"/>
        <v>1</v>
      </c>
      <c r="AB27" s="1886">
        <f t="shared" si="4"/>
        <v>1</v>
      </c>
      <c r="AC27" s="1886">
        <f t="shared" si="5"/>
        <v>1</v>
      </c>
    </row>
    <row r="28" ht="15.5" spans="1:29">
      <c r="A28" s="1724"/>
      <c r="B28" s="1721" t="s">
        <v>1207</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1188</v>
      </c>
      <c r="S28" s="1912">
        <f t="shared" ref="S28:S46" si="12">F28</f>
        <v>100</v>
      </c>
      <c r="T28" s="1911" t="s">
        <v>1188</v>
      </c>
      <c r="U28" s="1912">
        <f t="shared" ref="U28:U46" si="13">H28</f>
        <v>100</v>
      </c>
      <c r="V28" s="1911" t="s">
        <v>1188</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1188</v>
      </c>
      <c r="S29" s="1912">
        <f t="shared" si="12"/>
        <v>100</v>
      </c>
      <c r="T29" s="1911" t="s">
        <v>1188</v>
      </c>
      <c r="U29" s="1912">
        <f t="shared" si="13"/>
        <v>100</v>
      </c>
      <c r="V29" s="1911" t="s">
        <v>1188</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5"/>
        <v>111</v>
      </c>
      <c r="AA31" s="1886">
        <f t="shared" si="3"/>
        <v>1</v>
      </c>
      <c r="AB31" s="1886">
        <f t="shared" si="4"/>
        <v>1</v>
      </c>
      <c r="AC31" s="1886">
        <f t="shared" si="5"/>
        <v>1</v>
      </c>
    </row>
    <row r="32" ht="15.5" spans="1:29">
      <c r="A32" s="1737" t="s">
        <v>1208</v>
      </c>
      <c r="B32" s="1717" t="s">
        <v>1209</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1210</v>
      </c>
      <c r="Q32" s="1304" t="str">
        <f t="shared" si="11"/>
        <v>商业类型</v>
      </c>
      <c r="R32" s="1911" t="s">
        <v>1188</v>
      </c>
      <c r="S32" s="1912">
        <f t="shared" si="12"/>
        <v>100</v>
      </c>
      <c r="T32" s="1911" t="s">
        <v>1188</v>
      </c>
      <c r="U32" s="1912">
        <f t="shared" si="13"/>
        <v>100</v>
      </c>
      <c r="V32" s="1911" t="s">
        <v>1188</v>
      </c>
      <c r="W32" s="1912">
        <f t="shared" si="14"/>
        <v>100</v>
      </c>
      <c r="X32" s="1899"/>
      <c r="Y32" s="1874" t="s">
        <v>1210</v>
      </c>
      <c r="Z32" s="1886" t="str">
        <f t="shared" si="15"/>
        <v>商业类型</v>
      </c>
      <c r="AA32" s="1886">
        <f t="shared" si="3"/>
        <v>1</v>
      </c>
      <c r="AB32" s="1886">
        <f t="shared" si="4"/>
        <v>1</v>
      </c>
      <c r="AC32" s="1886">
        <f t="shared" si="5"/>
        <v>1</v>
      </c>
    </row>
    <row r="33" s="1673" customFormat="1" ht="15.5" spans="1:29">
      <c r="A33" s="1777"/>
      <c r="B33" s="1721" t="s">
        <v>1211</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1188</v>
      </c>
      <c r="S33" s="1914">
        <f t="shared" si="12"/>
        <v>100</v>
      </c>
      <c r="T33" s="1913" t="s">
        <v>1188</v>
      </c>
      <c r="U33" s="1914">
        <f t="shared" si="13"/>
        <v>100</v>
      </c>
      <c r="V33" s="1913" t="s">
        <v>1188</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1212</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1188</v>
      </c>
      <c r="S34" s="1912">
        <f t="shared" si="12"/>
        <v>100</v>
      </c>
      <c r="T34" s="1911" t="s">
        <v>1188</v>
      </c>
      <c r="U34" s="1912">
        <f t="shared" si="13"/>
        <v>100</v>
      </c>
      <c r="V34" s="1911" t="s">
        <v>1188</v>
      </c>
      <c r="W34" s="1912">
        <f t="shared" si="14"/>
        <v>100</v>
      </c>
      <c r="X34" s="1899"/>
      <c r="Y34" s="1874"/>
      <c r="Z34" s="1886" t="str">
        <f t="shared" si="15"/>
        <v>建筑结构</v>
      </c>
      <c r="AA34" s="1886">
        <f t="shared" si="3"/>
        <v>1</v>
      </c>
      <c r="AB34" s="1886">
        <f t="shared" si="4"/>
        <v>1</v>
      </c>
      <c r="AC34" s="1886">
        <f t="shared" si="5"/>
        <v>1</v>
      </c>
    </row>
    <row r="35" ht="15.5" spans="1:29">
      <c r="A35" s="1772"/>
      <c r="B35" s="1721" t="s">
        <v>1213</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1188</v>
      </c>
      <c r="S35" s="1912">
        <f t="shared" si="12"/>
        <v>100</v>
      </c>
      <c r="T35" s="1911" t="s">
        <v>1188</v>
      </c>
      <c r="U35" s="1912">
        <f t="shared" si="13"/>
        <v>100</v>
      </c>
      <c r="V35" s="1911" t="s">
        <v>1188</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660</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1188</v>
      </c>
      <c r="S36" s="1912">
        <f t="shared" si="12"/>
        <v>100</v>
      </c>
      <c r="T36" s="1911" t="s">
        <v>1188</v>
      </c>
      <c r="U36" s="1912">
        <f t="shared" si="13"/>
        <v>100</v>
      </c>
      <c r="V36" s="1911" t="s">
        <v>1188</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1214</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1188</v>
      </c>
      <c r="S37" s="1908">
        <f t="shared" si="12"/>
        <v>100</v>
      </c>
      <c r="T37" s="1907" t="s">
        <v>1188</v>
      </c>
      <c r="U37" s="1908">
        <f t="shared" si="13"/>
        <v>100</v>
      </c>
      <c r="V37" s="1907" t="s">
        <v>1188</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1215</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1210</v>
      </c>
      <c r="Q38" s="1304" t="str">
        <f t="shared" si="11"/>
        <v>业态</v>
      </c>
      <c r="R38" s="1911" t="s">
        <v>1188</v>
      </c>
      <c r="S38" s="1912">
        <f t="shared" si="12"/>
        <v>100</v>
      </c>
      <c r="T38" s="1911" t="s">
        <v>1188</v>
      </c>
      <c r="U38" s="1912">
        <f t="shared" si="13"/>
        <v>100</v>
      </c>
      <c r="V38" s="1911" t="s">
        <v>1188</v>
      </c>
      <c r="W38" s="1912">
        <f t="shared" si="14"/>
        <v>100</v>
      </c>
      <c r="X38" s="1899"/>
      <c r="Y38" s="1874" t="s">
        <v>1210</v>
      </c>
      <c r="Z38" s="1886" t="str">
        <f t="shared" si="15"/>
        <v>业态</v>
      </c>
      <c r="AA38" s="1886">
        <f t="shared" si="3"/>
        <v>1</v>
      </c>
      <c r="AB38" s="1886">
        <f t="shared" si="4"/>
        <v>1</v>
      </c>
      <c r="AC38" s="1886">
        <f t="shared" si="5"/>
        <v>1</v>
      </c>
    </row>
    <row r="39" ht="15.5" spans="1:29">
      <c r="A39" s="1772"/>
      <c r="B39" s="1721" t="s">
        <v>1216</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1188</v>
      </c>
      <c r="S39" s="1912">
        <f t="shared" si="12"/>
        <v>100</v>
      </c>
      <c r="T39" s="1911" t="s">
        <v>1188</v>
      </c>
      <c r="U39" s="1912">
        <f t="shared" si="13"/>
        <v>100</v>
      </c>
      <c r="V39" s="1911" t="s">
        <v>1188</v>
      </c>
      <c r="W39" s="1912">
        <f t="shared" si="14"/>
        <v>100</v>
      </c>
      <c r="X39" s="1899"/>
      <c r="Y39" s="1874"/>
      <c r="Z39" s="1886" t="str">
        <f t="shared" si="15"/>
        <v>层高</v>
      </c>
      <c r="AA39" s="1886">
        <f t="shared" si="3"/>
        <v>1</v>
      </c>
      <c r="AB39" s="1886">
        <f t="shared" si="4"/>
        <v>1</v>
      </c>
      <c r="AC39" s="1886">
        <f t="shared" si="5"/>
        <v>1</v>
      </c>
    </row>
    <row r="40" ht="15.5" spans="1:29">
      <c r="A40" s="1772"/>
      <c r="B40" s="1721" t="s">
        <v>1217</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1188</v>
      </c>
      <c r="S40" s="1912">
        <f t="shared" si="12"/>
        <v>100</v>
      </c>
      <c r="T40" s="1911" t="s">
        <v>1188</v>
      </c>
      <c r="U40" s="1912">
        <f t="shared" si="13"/>
        <v>100</v>
      </c>
      <c r="V40" s="1911" t="s">
        <v>1188</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1218</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1188</v>
      </c>
      <c r="S41" s="1914">
        <f t="shared" si="12"/>
        <v>100</v>
      </c>
      <c r="T41" s="1913" t="s">
        <v>1188</v>
      </c>
      <c r="U41" s="1914">
        <f t="shared" si="13"/>
        <v>100</v>
      </c>
      <c r="V41" s="1913" t="s">
        <v>1188</v>
      </c>
      <c r="W41" s="1914">
        <f t="shared" si="14"/>
        <v>100</v>
      </c>
      <c r="X41" s="1915"/>
      <c r="Y41" s="1874"/>
      <c r="Z41" s="1924" t="str">
        <f t="shared" si="15"/>
        <v>进深比</v>
      </c>
      <c r="AA41" s="1886">
        <f t="shared" si="3"/>
        <v>1</v>
      </c>
      <c r="AB41" s="1886">
        <f t="shared" si="4"/>
        <v>1</v>
      </c>
      <c r="AC41" s="1886">
        <f t="shared" si="5"/>
        <v>1</v>
      </c>
    </row>
    <row r="42" ht="15.5" spans="1:29">
      <c r="A42" s="1772"/>
      <c r="B42" s="1721" t="s">
        <v>1219</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1188</v>
      </c>
      <c r="S42" s="1912">
        <f t="shared" si="12"/>
        <v>100</v>
      </c>
      <c r="T42" s="1911" t="s">
        <v>1188</v>
      </c>
      <c r="U42" s="1912">
        <f t="shared" si="13"/>
        <v>100</v>
      </c>
      <c r="V42" s="1911" t="s">
        <v>1188</v>
      </c>
      <c r="W42" s="1912">
        <f t="shared" si="14"/>
        <v>100</v>
      </c>
      <c r="X42" s="1899"/>
      <c r="Y42" s="1874"/>
      <c r="Z42" s="1886" t="str">
        <f t="shared" si="15"/>
        <v>内部装修</v>
      </c>
      <c r="AA42" s="1886">
        <f t="shared" si="3"/>
        <v>1</v>
      </c>
      <c r="AB42" s="1886">
        <f t="shared" si="4"/>
        <v>1</v>
      </c>
      <c r="AC42" s="1886">
        <f t="shared" si="5"/>
        <v>1</v>
      </c>
    </row>
    <row r="43" ht="28" spans="1:29">
      <c r="A43" s="1772"/>
      <c r="B43" s="1721" t="s">
        <v>1220</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1188</v>
      </c>
      <c r="S43" s="1912">
        <f t="shared" si="12"/>
        <v>100</v>
      </c>
      <c r="T43" s="1911" t="s">
        <v>1188</v>
      </c>
      <c r="U43" s="1912">
        <f t="shared" si="13"/>
        <v>100</v>
      </c>
      <c r="V43" s="1911" t="s">
        <v>1188</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1188</v>
      </c>
      <c r="S44" s="1908">
        <f t="shared" si="12"/>
        <v>100</v>
      </c>
      <c r="T44" s="1907" t="s">
        <v>1188</v>
      </c>
      <c r="U44" s="1908">
        <f t="shared" si="13"/>
        <v>100</v>
      </c>
      <c r="V44" s="1907" t="s">
        <v>1188</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1188</v>
      </c>
      <c r="S45" s="1912">
        <f t="shared" si="12"/>
        <v>100</v>
      </c>
      <c r="T45" s="1911" t="s">
        <v>1188</v>
      </c>
      <c r="U45" s="1912">
        <f t="shared" si="13"/>
        <v>100</v>
      </c>
      <c r="V45" s="1911" t="s">
        <v>1188</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1188</v>
      </c>
      <c r="S46" s="1912">
        <f t="shared" si="12"/>
        <v>100</v>
      </c>
      <c r="T46" s="1911" t="s">
        <v>1188</v>
      </c>
      <c r="U46" s="1912">
        <f t="shared" si="13"/>
        <v>100</v>
      </c>
      <c r="V46" s="1911" t="s">
        <v>1188</v>
      </c>
      <c r="W46" s="1912">
        <f t="shared" si="14"/>
        <v>100</v>
      </c>
      <c r="X46" s="1899"/>
      <c r="Y46" s="2191"/>
      <c r="Z46" s="1886">
        <f t="shared" si="15"/>
        <v>111</v>
      </c>
      <c r="AA46" s="1886">
        <f t="shared" si="3"/>
        <v>1</v>
      </c>
      <c r="AB46" s="1886">
        <f t="shared" si="4"/>
        <v>1</v>
      </c>
      <c r="AC46" s="1886">
        <f t="shared" si="5"/>
        <v>1</v>
      </c>
    </row>
    <row r="47" spans="1:29">
      <c r="A47" s="1779" t="s">
        <v>1221</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1222</v>
      </c>
      <c r="B48" s="2091"/>
      <c r="C48" s="2092">
        <f>R49</f>
        <v>60000</v>
      </c>
      <c r="D48" s="1790" t="s">
        <v>1223</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1224</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1225</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1226</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1227</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1228</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1186</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1229</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1189</v>
      </c>
      <c r="B61" s="1935"/>
      <c r="C61" s="1936" t="s">
        <v>1230</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1231</v>
      </c>
      <c r="B63" s="1940" t="s">
        <v>1192</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1195</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1196</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1197</v>
      </c>
      <c r="B76" s="1940" t="s">
        <v>1232</v>
      </c>
      <c r="C76" s="1960" t="s">
        <v>1233</v>
      </c>
      <c r="D76" s="1960" t="s">
        <v>1234</v>
      </c>
      <c r="E76" s="1960" t="s">
        <v>1235</v>
      </c>
      <c r="F76" s="1960" t="s">
        <v>1236</v>
      </c>
      <c r="G76" s="1960" t="s">
        <v>1237</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1200</v>
      </c>
      <c r="C78" s="1961" t="s">
        <v>1233</v>
      </c>
      <c r="D78" s="1961" t="s">
        <v>1234</v>
      </c>
      <c r="E78" s="1961" t="s">
        <v>1235</v>
      </c>
      <c r="F78" s="1961" t="s">
        <v>1236</v>
      </c>
      <c r="G78" s="1961" t="s">
        <v>1237</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1201</v>
      </c>
      <c r="C80" s="1961" t="s">
        <v>1233</v>
      </c>
      <c r="D80" s="1961" t="s">
        <v>1234</v>
      </c>
      <c r="E80" s="1961" t="s">
        <v>1235</v>
      </c>
      <c r="F80" s="1961" t="s">
        <v>1236</v>
      </c>
      <c r="G80" s="1961" t="s">
        <v>1237</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1202</v>
      </c>
      <c r="C82" s="1865" t="s">
        <v>1238</v>
      </c>
      <c r="D82" s="1865" t="s">
        <v>1239</v>
      </c>
      <c r="E82" s="1865" t="s">
        <v>1240</v>
      </c>
      <c r="F82" s="1865" t="s">
        <v>1241</v>
      </c>
      <c r="G82" s="1865" t="s">
        <v>1242</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1203</v>
      </c>
      <c r="C84" s="1961" t="s">
        <v>1233</v>
      </c>
      <c r="D84" s="1961" t="s">
        <v>1234</v>
      </c>
      <c r="E84" s="1961" t="s">
        <v>1235</v>
      </c>
      <c r="F84" s="1961" t="s">
        <v>1236</v>
      </c>
      <c r="G84" s="1961" t="s">
        <v>1237</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1204</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1208</v>
      </c>
      <c r="B100" s="1940" t="s">
        <v>1209</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1211</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1212</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1213</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660</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1214</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1215</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1216</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1217</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1243</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1219</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1220</v>
      </c>
      <c r="C124" s="1961" t="s">
        <v>1233</v>
      </c>
      <c r="D124" s="1961" t="s">
        <v>1234</v>
      </c>
      <c r="E124" s="1961" t="s">
        <v>1235</v>
      </c>
      <c r="F124" s="1961" t="s">
        <v>1236</v>
      </c>
      <c r="G124" s="1961" t="s">
        <v>1237</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0" workbookViewId="0">
      <selection activeCell="Q10" sqref="Q10"/>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175" t="s">
        <v>1244</v>
      </c>
      <c r="C1" s="2060" t="s">
        <v>1168</v>
      </c>
      <c r="D1" s="2061">
        <v>2801</v>
      </c>
      <c r="E1" s="2062" t="s">
        <v>1245</v>
      </c>
      <c r="F1" s="2063" t="s">
        <v>1170</v>
      </c>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f ca="1">IF(E1="项目模式",IF(C2="——",ROUND(C50*D3/10000,0),ROUND(C50*D3/10000,0)-D2),IF(E1="单套模式",IF(C2="——",ROUND(C50*D3/10000,4),ROUND(C50*D3/10000,4)-D2)))</f>
        <v>2921.2765</v>
      </c>
      <c r="C2" s="2068" t="s">
        <v>124</v>
      </c>
      <c r="D2" s="2216"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f ca="1">IF(C2="——",C50,ROUND(B2*10000/D3,0))</f>
        <v>25514</v>
      </c>
      <c r="C3" s="2071" t="s">
        <v>1172</v>
      </c>
      <c r="D3" s="2072">
        <f>IF(D1="",'数据-汇总表'!E3,SUMIF('数据-汇总表'!$C19:$C33,D1,'数据-汇总表'!$E19:$E33))</f>
        <v>1144.97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2525" t="s">
        <v>1179</v>
      </c>
      <c r="Q4" s="2530"/>
      <c r="R4" s="2531" t="s">
        <v>1175</v>
      </c>
      <c r="S4" s="2532"/>
      <c r="T4" s="2531" t="s">
        <v>1176</v>
      </c>
      <c r="U4" s="2532"/>
      <c r="V4" s="1809" t="s">
        <v>1177</v>
      </c>
      <c r="W4" s="1809"/>
      <c r="X4" s="2533"/>
      <c r="Y4" s="2531" t="s">
        <v>1179</v>
      </c>
      <c r="Z4" s="2532"/>
      <c r="AA4" s="2533" t="s">
        <v>1175</v>
      </c>
      <c r="AB4" s="2533" t="s">
        <v>1176</v>
      </c>
      <c r="AC4" s="2536" t="s">
        <v>1177</v>
      </c>
    </row>
    <row r="5" spans="1:29">
      <c r="A5" s="1696"/>
      <c r="B5" s="1697"/>
      <c r="C5" s="1698" t="str">
        <f>E5</f>
        <v>通州万达</v>
      </c>
      <c r="D5" s="1699"/>
      <c r="E5" s="2514" t="s">
        <v>1246</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1184</v>
      </c>
      <c r="D6" s="2026"/>
      <c r="E6" s="2027" t="s">
        <v>1184</v>
      </c>
      <c r="F6" s="2028"/>
      <c r="G6" s="2025" t="s">
        <v>1184</v>
      </c>
      <c r="H6" s="2026"/>
      <c r="I6" s="2025" t="s">
        <v>1184</v>
      </c>
      <c r="J6" s="2026"/>
      <c r="K6" s="1845" t="s">
        <v>1185</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1186</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1187</v>
      </c>
      <c r="Q7" s="1906"/>
      <c r="R7" s="1907" t="s">
        <v>1188</v>
      </c>
      <c r="S7" s="1908">
        <f t="shared" ref="S7:S15" si="0">F7</f>
        <v>100</v>
      </c>
      <c r="T7" s="1907" t="s">
        <v>1188</v>
      </c>
      <c r="U7" s="1908">
        <f t="shared" ref="U7:U15" si="1">H7</f>
        <v>100</v>
      </c>
      <c r="V7" s="1907" t="s">
        <v>1188</v>
      </c>
      <c r="W7" s="1908">
        <f t="shared" ref="W7:W15" si="2">J7</f>
        <v>100</v>
      </c>
      <c r="X7" s="1909"/>
      <c r="Y7" s="1853" t="s">
        <v>1187</v>
      </c>
      <c r="Z7" s="1910"/>
      <c r="AA7" s="1923">
        <f>D7/F7</f>
        <v>1</v>
      </c>
      <c r="AB7" s="1923">
        <f>D7/H7</f>
        <v>1</v>
      </c>
      <c r="AC7" s="2538">
        <f>D7/J7</f>
        <v>1</v>
      </c>
    </row>
    <row r="8" s="1671" customFormat="1" ht="14.75" spans="1:29">
      <c r="A8" s="1708" t="s">
        <v>1189</v>
      </c>
      <c r="B8" s="1709"/>
      <c r="C8" s="1715" t="s">
        <v>893</v>
      </c>
      <c r="D8" s="1711">
        <v>100</v>
      </c>
      <c r="E8" s="2515" t="s">
        <v>1247</v>
      </c>
      <c r="F8" s="1713">
        <f>SUMIF(62:62,E8,63:63)-SUMIF(62:62,C8,63:63)+100</f>
        <v>102</v>
      </c>
      <c r="G8" s="2515" t="s">
        <v>1247</v>
      </c>
      <c r="H8" s="1711">
        <f>SUMIF(62:62,G8,63:63)-SUMIF(62:62,C8,63:63)+100</f>
        <v>102</v>
      </c>
      <c r="I8" s="2515" t="s">
        <v>1247</v>
      </c>
      <c r="J8" s="1711">
        <f>SUMIF(62:62,I8,63:63)-SUMIF(62:62,C8,63:63)+100</f>
        <v>102</v>
      </c>
      <c r="K8" s="1850"/>
      <c r="L8" s="1851"/>
      <c r="M8" s="1852"/>
      <c r="N8" s="1852"/>
      <c r="O8" s="1852"/>
      <c r="P8" s="2528" t="s">
        <v>1190</v>
      </c>
      <c r="Q8" s="1910"/>
      <c r="R8" s="1907" t="s">
        <v>1188</v>
      </c>
      <c r="S8" s="1908">
        <f t="shared" si="0"/>
        <v>102</v>
      </c>
      <c r="T8" s="1907" t="s">
        <v>1188</v>
      </c>
      <c r="U8" s="1908">
        <f t="shared" si="1"/>
        <v>102</v>
      </c>
      <c r="V8" s="1907" t="s">
        <v>1188</v>
      </c>
      <c r="W8" s="1908">
        <f t="shared" si="2"/>
        <v>102</v>
      </c>
      <c r="X8" s="1909"/>
      <c r="Y8" s="1853" t="s">
        <v>1190</v>
      </c>
      <c r="Z8" s="1910"/>
      <c r="AA8" s="1923">
        <f t="shared" ref="AA8:AA47" si="3">D8/F8</f>
        <v>0.980392156862745</v>
      </c>
      <c r="AB8" s="1923">
        <f t="shared" ref="AB8:AB47" si="4">D8/H8</f>
        <v>0.980392156862745</v>
      </c>
      <c r="AC8" s="2538">
        <f t="shared" ref="AC8:AC47" si="5">D8/J8</f>
        <v>0.980392156862745</v>
      </c>
    </row>
    <row r="9" s="1671" customFormat="1" spans="1:29">
      <c r="A9" s="1716" t="s">
        <v>1191</v>
      </c>
      <c r="B9" s="1717" t="s">
        <v>1192</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2538">
        <f t="shared" si="5"/>
        <v>1</v>
      </c>
    </row>
    <row r="10" s="1672" customFormat="1" ht="28" spans="1:29">
      <c r="A10" s="1720"/>
      <c r="B10" s="1721" t="s">
        <v>1195</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1196</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2538">
        <f t="shared" si="5"/>
        <v>1</v>
      </c>
    </row>
    <row r="15" ht="70" spans="1:29">
      <c r="A15" s="1737" t="s">
        <v>1197</v>
      </c>
      <c r="B15" s="1738" t="s">
        <v>1248</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1199</v>
      </c>
      <c r="Q15" s="1304" t="str">
        <f t="shared" si="6"/>
        <v>办公集聚程度</v>
      </c>
      <c r="R15" s="1911" t="s">
        <v>1188</v>
      </c>
      <c r="S15" s="1912">
        <f t="shared" si="0"/>
        <v>100</v>
      </c>
      <c r="T15" s="1911" t="s">
        <v>1188</v>
      </c>
      <c r="U15" s="1912">
        <f t="shared" si="1"/>
        <v>100</v>
      </c>
      <c r="V15" s="1911" t="s">
        <v>1188</v>
      </c>
      <c r="W15" s="1912">
        <f t="shared" si="2"/>
        <v>100</v>
      </c>
      <c r="X15" s="1899"/>
      <c r="Y15" s="1864" t="s">
        <v>1199</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1200</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1201</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1202</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1249</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1188</v>
      </c>
      <c r="S23" s="1912">
        <f>F23</f>
        <v>100</v>
      </c>
      <c r="T23" s="1911" t="s">
        <v>1188</v>
      </c>
      <c r="U23" s="1912">
        <f>H23</f>
        <v>100</v>
      </c>
      <c r="V23" s="1911" t="s">
        <v>1188</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1250</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1188</v>
      </c>
      <c r="S25" s="1912">
        <f>F25</f>
        <v>100</v>
      </c>
      <c r="T25" s="1911" t="s">
        <v>1188</v>
      </c>
      <c r="U25" s="1912">
        <f>H25</f>
        <v>100</v>
      </c>
      <c r="V25" s="1911" t="s">
        <v>1188</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1207</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1188</v>
      </c>
      <c r="S27" s="1912">
        <f>F27</f>
        <v>100</v>
      </c>
      <c r="T27" s="1911" t="s">
        <v>1188</v>
      </c>
      <c r="U27" s="1912">
        <f>H27</f>
        <v>100</v>
      </c>
      <c r="V27" s="1911" t="s">
        <v>1188</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1251</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1188</v>
      </c>
      <c r="S28" s="1908">
        <f>F28</f>
        <v>100</v>
      </c>
      <c r="T28" s="1907" t="s">
        <v>1188</v>
      </c>
      <c r="U28" s="1908">
        <f>H28</f>
        <v>100</v>
      </c>
      <c r="V28" s="1907" t="s">
        <v>1188</v>
      </c>
      <c r="W28" s="1908">
        <f>J28</f>
        <v>100</v>
      </c>
      <c r="X28" s="1909"/>
      <c r="Y28" s="1865"/>
      <c r="Z28" s="1923" t="str">
        <f>Q28</f>
        <v>朝向</v>
      </c>
      <c r="AA28" s="1886">
        <f t="shared" si="3"/>
        <v>1</v>
      </c>
      <c r="AB28" s="1886">
        <f t="shared" si="4"/>
        <v>1</v>
      </c>
      <c r="AC28" s="2539">
        <f t="shared" si="5"/>
        <v>1</v>
      </c>
    </row>
    <row r="29" ht="16.25" spans="1:29">
      <c r="A29" s="1724"/>
      <c r="B29" s="2521" t="s">
        <v>1252</v>
      </c>
      <c r="C29" s="2522" t="s">
        <v>1253</v>
      </c>
      <c r="D29" s="1437">
        <v>100</v>
      </c>
      <c r="E29" s="2523" t="s">
        <v>1254</v>
      </c>
      <c r="F29" s="1437">
        <f>SUMIF(93:93,E29,94:94)-SUMIF(93:93,C29,94:94)+100</f>
        <v>95</v>
      </c>
      <c r="G29" s="2523" t="s">
        <v>1254</v>
      </c>
      <c r="H29" s="1437">
        <f>SUMIF(93:93,G29,94:94)-SUMIF(93:93,C29,94:94)+100</f>
        <v>95</v>
      </c>
      <c r="I29" s="2523" t="s">
        <v>1253</v>
      </c>
      <c r="J29" s="1437">
        <f>SUMIF(93:93,I29,94:94)-SUMIF(93:93,C29,94:94)+100</f>
        <v>100</v>
      </c>
      <c r="K29" s="1869"/>
      <c r="L29" s="1862"/>
      <c r="M29" s="1796"/>
      <c r="N29" s="1796"/>
      <c r="O29" s="1796"/>
      <c r="P29" s="1759"/>
      <c r="Q29" s="1304" t="str">
        <f t="shared" si="11"/>
        <v>楼层</v>
      </c>
      <c r="R29" s="1911" t="s">
        <v>1188</v>
      </c>
      <c r="S29" s="1912">
        <f t="shared" ref="S29:S47" si="12">F29</f>
        <v>95</v>
      </c>
      <c r="T29" s="1911" t="s">
        <v>1188</v>
      </c>
      <c r="U29" s="1912">
        <f t="shared" ref="U29:U47" si="13">H29</f>
        <v>95</v>
      </c>
      <c r="V29" s="1911" t="s">
        <v>1188</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1188</v>
      </c>
      <c r="S32" s="1912">
        <f t="shared" si="12"/>
        <v>100</v>
      </c>
      <c r="T32" s="1911" t="s">
        <v>1188</v>
      </c>
      <c r="U32" s="1912">
        <f t="shared" si="13"/>
        <v>100</v>
      </c>
      <c r="V32" s="1911" t="s">
        <v>1188</v>
      </c>
      <c r="W32" s="1912">
        <f t="shared" si="14"/>
        <v>100</v>
      </c>
      <c r="X32" s="1899"/>
      <c r="Y32" s="1865"/>
      <c r="Z32" s="1886">
        <f t="shared" si="15"/>
        <v>111</v>
      </c>
      <c r="AA32" s="1886">
        <f t="shared" si="3"/>
        <v>1</v>
      </c>
      <c r="AB32" s="1886">
        <f t="shared" si="4"/>
        <v>1</v>
      </c>
      <c r="AC32" s="2539">
        <f t="shared" si="5"/>
        <v>1</v>
      </c>
    </row>
    <row r="33" ht="15.5" spans="1:29">
      <c r="A33" s="1737" t="s">
        <v>1208</v>
      </c>
      <c r="B33" s="1717" t="s">
        <v>1255</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1210</v>
      </c>
      <c r="Q33" s="1304" t="str">
        <f t="shared" si="11"/>
        <v>建筑类型</v>
      </c>
      <c r="R33" s="1911" t="s">
        <v>1188</v>
      </c>
      <c r="S33" s="1912">
        <f t="shared" si="12"/>
        <v>100</v>
      </c>
      <c r="T33" s="1911" t="s">
        <v>1188</v>
      </c>
      <c r="U33" s="1912">
        <f t="shared" si="13"/>
        <v>100</v>
      </c>
      <c r="V33" s="1911" t="s">
        <v>1188</v>
      </c>
      <c r="W33" s="1912">
        <f t="shared" si="14"/>
        <v>100</v>
      </c>
      <c r="X33" s="1899"/>
      <c r="Y33" s="1874" t="s">
        <v>1210</v>
      </c>
      <c r="Z33" s="1886" t="str">
        <f t="shared" si="15"/>
        <v>建筑类型</v>
      </c>
      <c r="AA33" s="1886">
        <f t="shared" si="3"/>
        <v>1</v>
      </c>
      <c r="AB33" s="1886">
        <f t="shared" si="4"/>
        <v>1</v>
      </c>
      <c r="AC33" s="2539">
        <f t="shared" si="5"/>
        <v>1</v>
      </c>
    </row>
    <row r="34" s="1673" customFormat="1" ht="15.5" spans="1:29">
      <c r="A34" s="1777"/>
      <c r="B34" s="1721" t="s">
        <v>1211</v>
      </c>
      <c r="C34" s="2076">
        <f>'数据-基础表'!I13</f>
        <v>1144.97</v>
      </c>
      <c r="D34" s="1723">
        <v>100</v>
      </c>
      <c r="E34" s="1726">
        <v>302</v>
      </c>
      <c r="F34" s="1721">
        <f>LOOKUP(E34,104:104,105:105)-LOOKUP(C34,104:104,105:105)+100</f>
        <v>99</v>
      </c>
      <c r="G34" s="1725">
        <v>110</v>
      </c>
      <c r="H34" s="1723">
        <f>LOOKUP(G34,104:104,105:105)-LOOKUP(C34,104:104,105:105)+100</f>
        <v>97</v>
      </c>
      <c r="I34" s="1725">
        <v>67.12</v>
      </c>
      <c r="J34" s="1723">
        <f>LOOKUP(I34,104:104,105:105)-LOOKUP(C34,104:104,105:105)+100</f>
        <v>96</v>
      </c>
      <c r="K34" s="1869"/>
      <c r="L34" s="1860"/>
      <c r="M34" s="1872"/>
      <c r="N34" s="1872"/>
      <c r="O34" s="1872"/>
      <c r="P34" s="2242"/>
      <c r="Q34" s="2106" t="str">
        <f t="shared" si="11"/>
        <v>项目建筑规模</v>
      </c>
      <c r="R34" s="1913" t="s">
        <v>1188</v>
      </c>
      <c r="S34" s="1914">
        <f t="shared" si="12"/>
        <v>99</v>
      </c>
      <c r="T34" s="1913" t="s">
        <v>1188</v>
      </c>
      <c r="U34" s="1914">
        <f t="shared" si="13"/>
        <v>97</v>
      </c>
      <c r="V34" s="1913" t="s">
        <v>1188</v>
      </c>
      <c r="W34" s="1914">
        <f t="shared" si="14"/>
        <v>96</v>
      </c>
      <c r="X34" s="1915"/>
      <c r="Y34" s="1874"/>
      <c r="Z34" s="1924" t="str">
        <f t="shared" si="15"/>
        <v>项目建筑规模</v>
      </c>
      <c r="AA34" s="1886">
        <f t="shared" si="3"/>
        <v>1.01010101010101</v>
      </c>
      <c r="AB34" s="1886">
        <f t="shared" si="4"/>
        <v>1.03092783505155</v>
      </c>
      <c r="AC34" s="2539">
        <f t="shared" si="5"/>
        <v>1.04166666666667</v>
      </c>
    </row>
    <row r="35" ht="15.5" spans="1:29">
      <c r="A35" s="1772"/>
      <c r="B35" s="1721" t="s">
        <v>1212</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1188</v>
      </c>
      <c r="S35" s="1912">
        <f t="shared" si="12"/>
        <v>100</v>
      </c>
      <c r="T35" s="1911" t="s">
        <v>1188</v>
      </c>
      <c r="U35" s="1912">
        <f t="shared" si="13"/>
        <v>100</v>
      </c>
      <c r="V35" s="1911" t="s">
        <v>1188</v>
      </c>
      <c r="W35" s="1912">
        <f t="shared" si="14"/>
        <v>100</v>
      </c>
      <c r="X35" s="1899"/>
      <c r="Y35" s="1874"/>
      <c r="Z35" s="1886" t="str">
        <f t="shared" si="15"/>
        <v>建筑结构</v>
      </c>
      <c r="AA35" s="1886">
        <f t="shared" si="3"/>
        <v>1</v>
      </c>
      <c r="AB35" s="1886">
        <f t="shared" si="4"/>
        <v>1</v>
      </c>
      <c r="AC35" s="2539">
        <f t="shared" si="5"/>
        <v>1</v>
      </c>
    </row>
    <row r="36" ht="15.5" spans="1:29">
      <c r="A36" s="1772"/>
      <c r="B36" s="1721" t="s">
        <v>1213</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1188</v>
      </c>
      <c r="S36" s="1912">
        <f t="shared" si="12"/>
        <v>100</v>
      </c>
      <c r="T36" s="1911" t="s">
        <v>1188</v>
      </c>
      <c r="U36" s="1912">
        <f t="shared" si="13"/>
        <v>100</v>
      </c>
      <c r="V36" s="1911" t="s">
        <v>1188</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660</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1188</v>
      </c>
      <c r="S37" s="1912">
        <f t="shared" si="12"/>
        <v>100</v>
      </c>
      <c r="T37" s="1911" t="s">
        <v>1188</v>
      </c>
      <c r="U37" s="1912">
        <f t="shared" si="13"/>
        <v>100</v>
      </c>
      <c r="V37" s="1911" t="s">
        <v>1188</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1256</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1188</v>
      </c>
      <c r="S38" s="1908">
        <f t="shared" si="12"/>
        <v>100</v>
      </c>
      <c r="T38" s="1907" t="s">
        <v>1188</v>
      </c>
      <c r="U38" s="1908">
        <f t="shared" si="13"/>
        <v>100</v>
      </c>
      <c r="V38" s="1907" t="s">
        <v>1188</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1257</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1210</v>
      </c>
      <c r="Q39" s="1304" t="str">
        <f t="shared" si="11"/>
        <v>物业管理</v>
      </c>
      <c r="R39" s="1911" t="s">
        <v>1188</v>
      </c>
      <c r="S39" s="1912">
        <f t="shared" si="12"/>
        <v>100</v>
      </c>
      <c r="T39" s="1911" t="s">
        <v>1188</v>
      </c>
      <c r="U39" s="1912">
        <f t="shared" si="13"/>
        <v>100</v>
      </c>
      <c r="V39" s="1911" t="s">
        <v>1188</v>
      </c>
      <c r="W39" s="1912">
        <f t="shared" si="14"/>
        <v>100</v>
      </c>
      <c r="X39" s="1899"/>
      <c r="Y39" s="1874" t="s">
        <v>1210</v>
      </c>
      <c r="Z39" s="1886" t="str">
        <f t="shared" si="15"/>
        <v>物业管理</v>
      </c>
      <c r="AA39" s="1886">
        <f t="shared" si="3"/>
        <v>1</v>
      </c>
      <c r="AB39" s="1886">
        <f t="shared" si="4"/>
        <v>1</v>
      </c>
      <c r="AC39" s="2539">
        <f t="shared" si="5"/>
        <v>1</v>
      </c>
    </row>
    <row r="40" ht="15.5" spans="1:29">
      <c r="A40" s="1772"/>
      <c r="B40" s="1721" t="s">
        <v>1214</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1188</v>
      </c>
      <c r="S40" s="1912">
        <f t="shared" si="12"/>
        <v>100</v>
      </c>
      <c r="T40" s="1911" t="s">
        <v>1188</v>
      </c>
      <c r="U40" s="1912">
        <f t="shared" si="13"/>
        <v>100</v>
      </c>
      <c r="V40" s="1911" t="s">
        <v>1188</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1216</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1188</v>
      </c>
      <c r="S41" s="1912">
        <f t="shared" si="12"/>
        <v>100</v>
      </c>
      <c r="T41" s="1911" t="s">
        <v>1188</v>
      </c>
      <c r="U41" s="1912">
        <f t="shared" si="13"/>
        <v>100</v>
      </c>
      <c r="V41" s="1911" t="s">
        <v>1188</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1258</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1188</v>
      </c>
      <c r="S42" s="1914">
        <f t="shared" si="12"/>
        <v>100</v>
      </c>
      <c r="T42" s="1913" t="s">
        <v>1188</v>
      </c>
      <c r="U42" s="1914">
        <f t="shared" si="13"/>
        <v>100</v>
      </c>
      <c r="V42" s="1913" t="s">
        <v>1188</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1219</v>
      </c>
      <c r="C43" s="2085" t="s">
        <v>1259</v>
      </c>
      <c r="D43" s="1437">
        <v>100</v>
      </c>
      <c r="E43" s="2085" t="s">
        <v>1259</v>
      </c>
      <c r="F43" s="1881">
        <f>SUMIF(123:123,E43,124:124)-SUMIF(123:123,C43,124:124)+100</f>
        <v>100</v>
      </c>
      <c r="G43" s="2085" t="s">
        <v>1260</v>
      </c>
      <c r="H43" s="1437">
        <f>SUMIF(123:123,G43,124:124)-SUMIF(123:123,C43,124:124)+100</f>
        <v>97</v>
      </c>
      <c r="I43" s="2085" t="s">
        <v>1260</v>
      </c>
      <c r="J43" s="1437">
        <f>SUMIF(123:123,I43,124:124)-SUMIF(123:123,C43,124:124)+100</f>
        <v>97</v>
      </c>
      <c r="K43" s="1870">
        <v>3</v>
      </c>
      <c r="L43" s="1862"/>
      <c r="M43" s="1796"/>
      <c r="N43" s="1796"/>
      <c r="O43" s="1796"/>
      <c r="P43" s="2242"/>
      <c r="Q43" s="1304" t="str">
        <f t="shared" si="11"/>
        <v>内部装修</v>
      </c>
      <c r="R43" s="1911" t="s">
        <v>1188</v>
      </c>
      <c r="S43" s="1912">
        <f t="shared" si="12"/>
        <v>100</v>
      </c>
      <c r="T43" s="1911" t="s">
        <v>1188</v>
      </c>
      <c r="U43" s="1912">
        <f t="shared" si="13"/>
        <v>97</v>
      </c>
      <c r="V43" s="1911" t="s">
        <v>1188</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1220</v>
      </c>
      <c r="C44" s="2085" t="s">
        <v>1261</v>
      </c>
      <c r="D44" s="1437">
        <v>100</v>
      </c>
      <c r="E44" s="2085" t="s">
        <v>1261</v>
      </c>
      <c r="F44" s="1881">
        <f>SUMIF(125:125,E44,126:126)-SUMIF(125:125,C44,126:126)+100</f>
        <v>100</v>
      </c>
      <c r="G44" s="2085" t="s">
        <v>1261</v>
      </c>
      <c r="H44" s="1437">
        <f>SUMIF(125:125,G44,126:126)-SUMIF(125:125,C44,126:126)+100</f>
        <v>100</v>
      </c>
      <c r="I44" s="2085" t="s">
        <v>1261</v>
      </c>
      <c r="J44" s="1437">
        <f>SUMIF(125:125,I44,126:126)-SUMIF(125:125,C44,126:126)+100</f>
        <v>100</v>
      </c>
      <c r="K44" s="1870"/>
      <c r="L44" s="1862"/>
      <c r="M44" s="1796"/>
      <c r="N44" s="1796"/>
      <c r="O44" s="1796"/>
      <c r="P44" s="2242"/>
      <c r="Q44" s="1304" t="str">
        <f t="shared" si="11"/>
        <v>内部装修维护情况</v>
      </c>
      <c r="R44" s="1911" t="s">
        <v>1188</v>
      </c>
      <c r="S44" s="1912">
        <f t="shared" si="12"/>
        <v>100</v>
      </c>
      <c r="T44" s="1911" t="s">
        <v>1188</v>
      </c>
      <c r="U44" s="1912">
        <f t="shared" si="13"/>
        <v>100</v>
      </c>
      <c r="V44" s="1911" t="s">
        <v>1188</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1188</v>
      </c>
      <c r="S45" s="1908">
        <f t="shared" si="12"/>
        <v>100</v>
      </c>
      <c r="T45" s="1907" t="s">
        <v>1188</v>
      </c>
      <c r="U45" s="1908">
        <f t="shared" si="13"/>
        <v>100</v>
      </c>
      <c r="V45" s="1907" t="s">
        <v>1188</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1188</v>
      </c>
      <c r="S46" s="1912">
        <f t="shared" si="12"/>
        <v>100</v>
      </c>
      <c r="T46" s="1911" t="s">
        <v>1188</v>
      </c>
      <c r="U46" s="1912">
        <f t="shared" si="13"/>
        <v>100</v>
      </c>
      <c r="V46" s="1911" t="s">
        <v>1188</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1188</v>
      </c>
      <c r="S47" s="1912">
        <f t="shared" si="12"/>
        <v>100</v>
      </c>
      <c r="T47" s="1911" t="s">
        <v>1188</v>
      </c>
      <c r="U47" s="1912">
        <f t="shared" si="13"/>
        <v>100</v>
      </c>
      <c r="V47" s="1911" t="s">
        <v>1188</v>
      </c>
      <c r="W47" s="1912">
        <f t="shared" si="14"/>
        <v>100</v>
      </c>
      <c r="X47" s="1899"/>
      <c r="Y47" s="2191"/>
      <c r="Z47" s="1886">
        <f t="shared" si="15"/>
        <v>111</v>
      </c>
      <c r="AA47" s="1886">
        <f t="shared" si="3"/>
        <v>1</v>
      </c>
      <c r="AB47" s="1886">
        <f t="shared" si="4"/>
        <v>1</v>
      </c>
      <c r="AC47" s="2539">
        <f t="shared" si="5"/>
        <v>1</v>
      </c>
    </row>
    <row r="48" spans="1:29">
      <c r="A48" s="1779" t="s">
        <v>1221</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1222</v>
      </c>
      <c r="B49" s="2091"/>
      <c r="C49" s="2092">
        <f>R50</f>
        <v>25514</v>
      </c>
      <c r="D49" s="1790" t="s">
        <v>1223</v>
      </c>
      <c r="E49" s="2093">
        <f>R49</f>
        <v>26060</v>
      </c>
      <c r="F49" s="1791"/>
      <c r="G49" s="2092">
        <f>T49</f>
        <v>25227</v>
      </c>
      <c r="H49" s="1791"/>
      <c r="I49" s="2093">
        <f>V49</f>
        <v>25254</v>
      </c>
      <c r="J49" s="1791"/>
      <c r="K49" s="1879">
        <f>F49+H49+J49</f>
        <v>0</v>
      </c>
      <c r="L49" s="1878"/>
      <c r="M49" s="1796"/>
      <c r="N49" s="1796"/>
      <c r="O49" s="1796"/>
      <c r="P49" s="1815" t="str">
        <f>A49</f>
        <v>比较价值（元/平方米）</v>
      </c>
      <c r="Q49" s="1304"/>
      <c r="R49" s="1886">
        <f>IF(F1="售价",ROUND(PRODUCT(R48,AA7:AA47),0),ROUND(PRODUCT(R48,AA7:AA47),1))</f>
        <v>26060</v>
      </c>
      <c r="S49" s="1886"/>
      <c r="T49" s="1886">
        <f>IF(F1="售价",ROUND(PRODUCT(T48,AB7:AB47),0),ROUND(PRODUCT(T48,AB7:AB47),1))</f>
        <v>25227</v>
      </c>
      <c r="U49" s="1886"/>
      <c r="V49" s="1886">
        <f>IF(F1="售价",ROUND(PRODUCT(V48,AC7:AC47),0),ROUND(PRODUCT(V48,AC7:AC47),1))</f>
        <v>25254</v>
      </c>
      <c r="W49" s="1886"/>
      <c r="X49" s="1836"/>
      <c r="Y49" s="1836"/>
      <c r="Z49" s="1836"/>
      <c r="AA49" s="1836"/>
      <c r="AB49" s="1836"/>
      <c r="AC49" s="1742"/>
    </row>
    <row r="50" ht="14.75" spans="1:29">
      <c r="A50" s="1793" t="s">
        <v>1224</v>
      </c>
      <c r="B50" s="1794"/>
      <c r="C50" s="1703">
        <f>R50</f>
        <v>25514</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25514</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1225</v>
      </c>
      <c r="D53" s="1346"/>
      <c r="E53" s="1799">
        <f>IF(E48&lt;E49,E49/E48-1,E48/E49-1)</f>
        <v>0.0424</v>
      </c>
      <c r="F53" s="1800" t="str">
        <f>IF(OR(E53&gt;=0.3,E53&lt;=-0.3),"超过30%","")</f>
        <v/>
      </c>
      <c r="G53" s="1799">
        <f>IF(G48&lt;G49,G49/G48-1,G48/G49-1)</f>
        <v>0.0968260869565218</v>
      </c>
      <c r="H53" s="1800" t="str">
        <f>IF(OR(G53&gt;=0.3,G53&lt;=-0.3),"超过30%","")</f>
        <v/>
      </c>
      <c r="I53" s="1799">
        <f>IF(I48&lt;I49,I49/I48-1,I48/I49-1)</f>
        <v>0.0528202776503939</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1226</v>
      </c>
      <c r="D54" s="1345"/>
      <c r="E54" s="1799">
        <f>IF(E49&lt;G49,G49/E49-1,E49/G49-1)</f>
        <v>0.033020176794704</v>
      </c>
      <c r="F54" s="1800" t="str">
        <f>IF(OR(E54&gt;=0.2,E54&lt;=-0.2),"超过20%","")</f>
        <v/>
      </c>
      <c r="G54" s="1799">
        <f>IF(G49&lt;I49,I49/G49-1,G49/I49-1)</f>
        <v>0.00107028184088476</v>
      </c>
      <c r="H54" s="1800" t="str">
        <f>IF(OR(G54&gt;=0.2,G54&lt;=-0.2),"超过20%","")</f>
        <v/>
      </c>
      <c r="I54" s="1799">
        <f>IF(I49&lt;E49,E49/I49-1,I49/E49-1)</f>
        <v>0.0319157361210105</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1227</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1228</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1186</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1229</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1189</v>
      </c>
      <c r="B62" s="1935"/>
      <c r="C62" s="1936" t="s">
        <v>1230</v>
      </c>
      <c r="D62" s="2524" t="s">
        <v>1247</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1231</v>
      </c>
      <c r="B64" s="1940" t="s">
        <v>1192</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1195</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1196</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1197</v>
      </c>
      <c r="B77" s="1940" t="s">
        <v>1248</v>
      </c>
      <c r="C77" s="1960" t="s">
        <v>1233</v>
      </c>
      <c r="D77" s="1960" t="s">
        <v>1234</v>
      </c>
      <c r="E77" s="1960" t="s">
        <v>1235</v>
      </c>
      <c r="F77" s="1960" t="s">
        <v>1236</v>
      </c>
      <c r="G77" s="1960" t="s">
        <v>1237</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1200</v>
      </c>
      <c r="C79" s="1961" t="s">
        <v>1233</v>
      </c>
      <c r="D79" s="1961" t="s">
        <v>1234</v>
      </c>
      <c r="E79" s="1961" t="s">
        <v>1235</v>
      </c>
      <c r="F79" s="1961" t="s">
        <v>1236</v>
      </c>
      <c r="G79" s="1961" t="s">
        <v>1237</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1201</v>
      </c>
      <c r="C81" s="1961" t="s">
        <v>1233</v>
      </c>
      <c r="D81" s="1961" t="s">
        <v>1234</v>
      </c>
      <c r="E81" s="1961" t="s">
        <v>1235</v>
      </c>
      <c r="F81" s="1961" t="s">
        <v>1236</v>
      </c>
      <c r="G81" s="1961" t="s">
        <v>1237</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1202</v>
      </c>
      <c r="C83" s="1865" t="s">
        <v>1238</v>
      </c>
      <c r="D83" s="1865" t="s">
        <v>1239</v>
      </c>
      <c r="E83" s="1865" t="s">
        <v>1240</v>
      </c>
      <c r="F83" s="1865" t="s">
        <v>1241</v>
      </c>
      <c r="G83" s="1865" t="s">
        <v>1242</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1249</v>
      </c>
      <c r="C85" s="1961" t="s">
        <v>1233</v>
      </c>
      <c r="D85" s="1961" t="s">
        <v>1234</v>
      </c>
      <c r="E85" s="1961" t="s">
        <v>1235</v>
      </c>
      <c r="F85" s="1961" t="s">
        <v>1236</v>
      </c>
      <c r="G85" s="1961" t="s">
        <v>1237</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1250</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1253</v>
      </c>
      <c r="D93" s="2540" t="s">
        <v>1254</v>
      </c>
      <c r="E93" s="2540" t="s">
        <v>1262</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1208</v>
      </c>
      <c r="B101" s="1940" t="s">
        <v>1255</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1211</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1212</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1213</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660</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1256</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1257</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1214</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1263</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1217</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1219</v>
      </c>
      <c r="C123" s="2540" t="s">
        <v>1259</v>
      </c>
      <c r="D123" s="2540" t="s">
        <v>1260</v>
      </c>
      <c r="E123" s="2540" t="s">
        <v>1264</v>
      </c>
      <c r="F123" s="2541" t="s">
        <v>1265</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1220</v>
      </c>
      <c r="C125" s="1961" t="s">
        <v>1233</v>
      </c>
      <c r="D125" s="1961" t="s">
        <v>1234</v>
      </c>
      <c r="E125" s="1961" t="s">
        <v>1235</v>
      </c>
      <c r="F125" s="1961" t="s">
        <v>1236</v>
      </c>
      <c r="G125" s="1961" t="s">
        <v>1237</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573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t="e">
        <f ca="1">ROUND(IF(F10="押一",C6/12*F11,IF(F10="押二",C6/12*2*F11,IF(F10="押三",C6/12*3*F11,C11*F11))),0)</f>
        <v>#N/A</v>
      </c>
      <c r="D10" s="388" t="s">
        <v>1288</v>
      </c>
      <c r="E10" s="389" t="s">
        <v>1289</v>
      </c>
      <c r="F10" s="390" t="s">
        <v>1290</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2009</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t="e">
        <f>基准地价修正!C30</f>
        <v>#REF!</v>
      </c>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45</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f>基准地价修正!G24</f>
        <v>0.055</v>
      </c>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t="s">
        <v>1413</v>
      </c>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t="e">
        <f>IF(L55="比较法",L49,IF(L55="基准地价",L50,0))</f>
        <v>#REF!</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0.055</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F41</f>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F43</f>
        <v>#N/A</v>
      </c>
      <c r="O71" s="573" t="s">
        <v>1447</v>
      </c>
      <c r="P71" s="634" t="s">
        <v>1448</v>
      </c>
      <c r="Q71" s="607" t="e">
        <f ca="1">C76</f>
        <v>#N/A</v>
      </c>
      <c r="R71" s="606"/>
    </row>
    <row r="72" s="339" customFormat="1" ht="13.75" spans="2:18">
      <c r="B72" s="552"/>
      <c r="C72" s="552"/>
      <c r="O72" s="573" t="s">
        <v>1398</v>
      </c>
      <c r="P72" s="566" t="s">
        <v>1425</v>
      </c>
      <c r="Q72" s="607">
        <f>L52</f>
        <v>0.055</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v>2801</v>
      </c>
      <c r="D1" s="346" t="s">
        <v>124</v>
      </c>
      <c r="E1" s="347" t="s">
        <v>1267</v>
      </c>
      <c r="F1" s="348">
        <f ca="1">J53</f>
        <v>21.21</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2503">
        <f ca="1">ROUND(D2/10000,4)</f>
        <v>621.9797</v>
      </c>
      <c r="C2" s="353" t="s">
        <v>1269</v>
      </c>
      <c r="D2" s="2504">
        <f ca="1">C40+J29+L46</f>
        <v>6219797</v>
      </c>
      <c r="E2" s="354" t="s">
        <v>1458</v>
      </c>
      <c r="F2" s="355"/>
      <c r="G2" s="356"/>
      <c r="H2" s="357"/>
      <c r="I2" s="357"/>
      <c r="J2" s="357"/>
      <c r="K2" s="526"/>
      <c r="L2" s="357"/>
      <c r="M2" s="357"/>
    </row>
    <row r="3" ht="18" customHeight="1" spans="1:13">
      <c r="A3" s="358" t="s">
        <v>1270</v>
      </c>
      <c r="B3" s="359">
        <f ca="1">IF(ISERROR(D2/F43),0,ROUND(D2/F43,0))</f>
        <v>5432</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f ca="1">C6+C10+C12</f>
        <v>451911</v>
      </c>
      <c r="D5" s="368" t="s">
        <v>1279</v>
      </c>
      <c r="E5" s="369"/>
      <c r="F5" s="370"/>
      <c r="G5" s="339"/>
      <c r="H5" s="365">
        <v>1</v>
      </c>
      <c r="I5" s="366" t="s">
        <v>1278</v>
      </c>
      <c r="J5" s="367">
        <f ca="1">J6+J10+J12</f>
        <v>0</v>
      </c>
      <c r="K5" s="368" t="s">
        <v>1279</v>
      </c>
      <c r="L5" s="369"/>
      <c r="M5" s="370"/>
    </row>
    <row r="6" ht="18" customHeight="1" spans="1:13">
      <c r="A6" s="371" t="s">
        <v>915</v>
      </c>
      <c r="B6" s="372" t="s">
        <v>1280</v>
      </c>
      <c r="C6" s="373">
        <f ca="1">ROUND(F6*F8*F7*(1-F9),0)</f>
        <v>451347</v>
      </c>
      <c r="D6" s="374" t="s">
        <v>1459</v>
      </c>
      <c r="E6" s="375" t="s">
        <v>1282</v>
      </c>
      <c r="F6" s="376">
        <f ca="1">INDIRECT("'数据-取费表'!u"&amp;$G$1)</f>
        <v>1.2</v>
      </c>
      <c r="G6" s="339"/>
      <c r="H6" s="371" t="s">
        <v>915</v>
      </c>
      <c r="I6" s="372" t="s">
        <v>1280</v>
      </c>
      <c r="J6" s="453">
        <f ca="1">ROUND(M6*M8*M7*(1-M9),0)</f>
        <v>0</v>
      </c>
      <c r="K6" s="2511" t="s">
        <v>1460</v>
      </c>
      <c r="L6" s="375" t="s">
        <v>1282</v>
      </c>
      <c r="M6" s="376">
        <f ca="1">INDIRECT("'数据-取费表'!z"&amp;$G$1)</f>
        <v>0</v>
      </c>
    </row>
    <row r="7" ht="18" customHeight="1" spans="1:13">
      <c r="A7" s="377"/>
      <c r="B7" s="378"/>
      <c r="C7" s="379"/>
      <c r="D7" s="380"/>
      <c r="E7" s="381" t="s">
        <v>1284</v>
      </c>
      <c r="F7" s="376">
        <f ca="1">IF(INDIRECT("'数据-取费表'!ah"&amp;$G$1)="",INDIRECT("'数据-取费表'!k"&amp;$G$1),INDIRECT("'数据-取费表'!ah"&amp;$G$1))</f>
        <v>1144.97</v>
      </c>
      <c r="G7" s="339"/>
      <c r="H7" s="382"/>
      <c r="I7" s="378"/>
      <c r="J7" s="383"/>
      <c r="K7" s="380"/>
      <c r="L7" s="375" t="s">
        <v>1284</v>
      </c>
      <c r="M7" s="376">
        <f ca="1">F7</f>
        <v>1144.97</v>
      </c>
    </row>
    <row r="8" ht="18" customHeight="1" spans="1:13">
      <c r="A8" s="382"/>
      <c r="B8" s="378"/>
      <c r="C8" s="383"/>
      <c r="D8" s="380"/>
      <c r="E8" s="375" t="s">
        <v>1285</v>
      </c>
      <c r="F8" s="376">
        <f ca="1">INDIRECT("'数据-取费表'!ai"&amp;$G$1)</f>
        <v>365</v>
      </c>
      <c r="G8" s="339"/>
      <c r="H8" s="382"/>
      <c r="I8" s="378"/>
      <c r="J8" s="383"/>
      <c r="K8" s="380"/>
      <c r="L8" s="375" t="s">
        <v>1285</v>
      </c>
      <c r="M8" s="376">
        <f ca="1">INDIRECT("'数据-取费表'!ai"&amp;$G$1)</f>
        <v>365</v>
      </c>
    </row>
    <row r="9" ht="18" customHeight="1" spans="1:13">
      <c r="A9" s="382"/>
      <c r="B9" s="384"/>
      <c r="C9" s="383"/>
      <c r="D9" s="380"/>
      <c r="E9" s="375" t="s">
        <v>1286</v>
      </c>
      <c r="F9" s="385">
        <f ca="1">INDIRECT("'数据-取费表'!w"&amp;$G$1)</f>
        <v>0.1</v>
      </c>
      <c r="G9" s="339"/>
      <c r="H9" s="382"/>
      <c r="I9" s="384"/>
      <c r="J9" s="383"/>
      <c r="K9" s="380"/>
      <c r="L9" s="389" t="s">
        <v>1286</v>
      </c>
      <c r="M9" s="395">
        <f ca="1">INDIRECT("'数据-取费表'!ab"&amp;$G$1)</f>
        <v>0</v>
      </c>
    </row>
    <row r="10" ht="18" customHeight="1" spans="1:13">
      <c r="A10" s="371" t="s">
        <v>919</v>
      </c>
      <c r="B10" s="386" t="s">
        <v>1287</v>
      </c>
      <c r="C10" s="387">
        <f ca="1">ROUND(IF(F10="押一",C6/12*F11,IF(F10="押二",C6/12*2*F11,IF(F10="押三",C6/12*3*F11,C11*F11))),0)</f>
        <v>564</v>
      </c>
      <c r="D10" s="388" t="s">
        <v>1288</v>
      </c>
      <c r="E10" s="389" t="s">
        <v>1289</v>
      </c>
      <c r="F10" s="2505" t="s">
        <v>1461</v>
      </c>
      <c r="G10" s="339"/>
      <c r="H10" s="371" t="s">
        <v>919</v>
      </c>
      <c r="I10" s="386" t="s">
        <v>1287</v>
      </c>
      <c r="J10" s="453">
        <f ca="1">ROUND(IF(M10="押一",J6/12*M11,IF(M10="押二",J6/12*2*M11,IF(M10="押三",J6/12*3*M11,J11*M11))),0)</f>
        <v>0</v>
      </c>
      <c r="K10" s="2512" t="s">
        <v>1462</v>
      </c>
      <c r="L10" s="389" t="s">
        <v>1289</v>
      </c>
      <c r="M10" s="390"/>
    </row>
    <row r="11" ht="18" customHeight="1" spans="1:13">
      <c r="A11" s="391"/>
      <c r="B11" s="392" t="s">
        <v>1463</v>
      </c>
      <c r="C11" s="393"/>
      <c r="D11" s="380"/>
      <c r="E11" s="389" t="s">
        <v>1292</v>
      </c>
      <c r="F11" s="395">
        <f ca="1">'数据-取费表'!B39</f>
        <v>0.015</v>
      </c>
      <c r="G11" s="339"/>
      <c r="H11" s="396"/>
      <c r="I11" s="392" t="s">
        <v>1464</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f ca="1">ROUND(C29*F13,0)</f>
        <v>4921371</v>
      </c>
      <c r="D13" s="406" t="s">
        <v>1295</v>
      </c>
      <c r="E13" s="406" t="s">
        <v>1296</v>
      </c>
      <c r="F13" s="407">
        <f ca="1">INDIRECT("'数据-取费表'!y"&amp;$G$1)</f>
        <v>0.85</v>
      </c>
      <c r="G13" s="339"/>
      <c r="H13" s="403">
        <v>2</v>
      </c>
      <c r="I13" s="404" t="s">
        <v>1294</v>
      </c>
      <c r="J13" s="533">
        <f ca="1">ROUND(J14*J15,0)</f>
        <v>0</v>
      </c>
      <c r="K13" s="431" t="s">
        <v>1295</v>
      </c>
      <c r="L13" s="534"/>
      <c r="M13" s="535"/>
    </row>
    <row r="14" ht="18" customHeight="1" spans="1:13">
      <c r="A14" s="408" t="s">
        <v>938</v>
      </c>
      <c r="B14" s="375" t="s">
        <v>1297</v>
      </c>
      <c r="C14" s="409">
        <f ca="1">ROUND(INDIRECT("'数据-取费表'!l"&amp;$G$1)*F43+'数据-取费表'!L14*INDIRECT("'数据-取费表'!S"&amp;$G$1),0)</f>
        <v>4007395</v>
      </c>
      <c r="D14" s="410" t="s">
        <v>1298</v>
      </c>
      <c r="E14" s="411"/>
      <c r="F14" s="412"/>
      <c r="G14" s="339"/>
      <c r="H14" s="408" t="s">
        <v>915</v>
      </c>
      <c r="I14" s="375" t="s">
        <v>1299</v>
      </c>
      <c r="J14" s="413">
        <f ca="1">C29</f>
        <v>5789848</v>
      </c>
      <c r="K14" s="536"/>
      <c r="L14" s="537"/>
      <c r="M14" s="538"/>
    </row>
    <row r="15" s="338" customFormat="1" ht="18" customHeight="1" spans="1:37">
      <c r="A15" s="408" t="s">
        <v>943</v>
      </c>
      <c r="B15" s="375" t="s">
        <v>1127</v>
      </c>
      <c r="C15" s="413">
        <f ca="1">ROUND(C14*F15,0)</f>
        <v>120222</v>
      </c>
      <c r="D15" s="414" t="s">
        <v>1300</v>
      </c>
      <c r="E15" s="414" t="s">
        <v>1301</v>
      </c>
      <c r="F15" s="415">
        <f>'数据-取费表'!B33</f>
        <v>0.03</v>
      </c>
      <c r="G15" s="416"/>
      <c r="H15" s="417" t="s">
        <v>919</v>
      </c>
      <c r="I15" s="401" t="s">
        <v>1296</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f ca="1">ROUND(INDIRECT("'数据-取费表'!l"&amp;$G$1)*F43*F16,0)</f>
        <v>0</v>
      </c>
      <c r="D16" s="375" t="s">
        <v>1300</v>
      </c>
      <c r="E16" s="375" t="s">
        <v>1301</v>
      </c>
      <c r="F16" s="418">
        <f ca="1">IF(INDIRECT("'数据-取费表'!c"&amp;$G$1)="住宅",'数据-取费表'!B34,0)</f>
        <v>0</v>
      </c>
      <c r="G16" s="339"/>
      <c r="H16" s="403" t="s">
        <v>1302</v>
      </c>
      <c r="I16" s="404" t="s">
        <v>1303</v>
      </c>
      <c r="J16" s="405">
        <f ca="1">ROUND(J17+J22+J23+J24,0)</f>
        <v>28949</v>
      </c>
      <c r="K16" s="431" t="s">
        <v>1304</v>
      </c>
      <c r="L16" s="432"/>
      <c r="M16" s="370"/>
    </row>
    <row r="17" s="338" customFormat="1" ht="18" customHeight="1" spans="1:37">
      <c r="A17" s="408" t="s">
        <v>1305</v>
      </c>
      <c r="B17" s="375" t="s">
        <v>1306</v>
      </c>
      <c r="C17" s="413">
        <f ca="1">ROUND(F17*(F43+INDIRECT("'数据-取费表'!S"&amp;$G$1)),0)</f>
        <v>228994</v>
      </c>
      <c r="D17" s="375" t="s">
        <v>1307</v>
      </c>
      <c r="E17" s="375" t="s">
        <v>1308</v>
      </c>
      <c r="F17" s="419">
        <f>'数据-取费表'!B35</f>
        <v>200</v>
      </c>
      <c r="G17" s="416"/>
      <c r="H17" s="408" t="s">
        <v>915</v>
      </c>
      <c r="I17" s="375" t="s">
        <v>1309</v>
      </c>
      <c r="J17" s="434">
        <f ca="1">ROUND(IF(AND(项目基本情况!B11="自然人",项目基本情况!B10="北京市"),J6*M17/(1+'数据-取费表'!C42),J18+J19+J20),0)</f>
        <v>0</v>
      </c>
      <c r="K17" s="410" t="s">
        <v>1310</v>
      </c>
      <c r="L17" s="435" t="s">
        <v>1311</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f ca="1">ROUND(C14*F18,0)</f>
        <v>80148</v>
      </c>
      <c r="D18" s="375" t="s">
        <v>1300</v>
      </c>
      <c r="E18" s="375" t="s">
        <v>1301</v>
      </c>
      <c r="F18" s="418">
        <f>'数据-取费表'!B36</f>
        <v>0.02</v>
      </c>
      <c r="G18" s="416"/>
      <c r="H18" s="408" t="s">
        <v>938</v>
      </c>
      <c r="I18" s="375" t="s">
        <v>1313</v>
      </c>
      <c r="J18" s="413">
        <f ca="1">ROUND(J6*M18/(1+'数据-取费表'!C42),0)</f>
        <v>0</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f ca="1">SUM(C14:C18)</f>
        <v>4436759</v>
      </c>
      <c r="D19" s="420" t="s">
        <v>1316</v>
      </c>
      <c r="E19" s="421"/>
      <c r="F19" s="419"/>
      <c r="G19" s="339"/>
      <c r="H19" s="408" t="s">
        <v>943</v>
      </c>
      <c r="I19" s="375" t="s">
        <v>1317</v>
      </c>
      <c r="J19" s="413">
        <f ca="1">IF(K19="按租金收入计税",ROUND(J6*M19/(1+'数据-取费表'!C42),0),ROUND(C29*M19*0.7,0))</f>
        <v>0</v>
      </c>
      <c r="K19" s="438" t="s">
        <v>1318</v>
      </c>
      <c r="L19" s="375" t="s">
        <v>1301</v>
      </c>
      <c r="M19" s="418">
        <f>IF(K19="按租金收入计税",'数据-取费表'!B51,'数据-取费表'!B50)</f>
        <v>0.12</v>
      </c>
    </row>
    <row r="20" s="338" customFormat="1" ht="18" customHeight="1" spans="1:37">
      <c r="A20" s="408" t="s">
        <v>919</v>
      </c>
      <c r="B20" s="375" t="s">
        <v>1319</v>
      </c>
      <c r="C20" s="413">
        <f ca="1">ROUND(C19*F20,0)</f>
        <v>88735</v>
      </c>
      <c r="D20" s="422" t="s">
        <v>1320</v>
      </c>
      <c r="E20" s="375" t="s">
        <v>1301</v>
      </c>
      <c r="F20" s="418">
        <f>'数据-取费表'!B37</f>
        <v>0.02</v>
      </c>
      <c r="G20" s="416"/>
      <c r="H20" s="408" t="s">
        <v>946</v>
      </c>
      <c r="I20" s="374" t="s">
        <v>1321</v>
      </c>
      <c r="J20" s="440">
        <f ca="1">ROUND(M20*M21,0)</f>
        <v>0</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f ca="1">ROUND(J14*M22,0)</f>
        <v>28949</v>
      </c>
      <c r="K22" s="435" t="s">
        <v>1330</v>
      </c>
      <c r="L22" s="375" t="s">
        <v>1301</v>
      </c>
      <c r="M22" s="447">
        <f ca="1">INDIRECT("'数据-取费表'!Ak"&amp;$G$1)</f>
        <v>0.005</v>
      </c>
    </row>
    <row r="23" s="338" customFormat="1" ht="18" customHeight="1" spans="1:37">
      <c r="A23" s="408" t="s">
        <v>938</v>
      </c>
      <c r="B23" s="375" t="s">
        <v>1331</v>
      </c>
      <c r="C23" s="413">
        <f ca="1">IF('数据-取费表'!B22&lt;=1,ROUND(C19*F24*F23/2,0)+ROUND(C20*F24*F23/2,0),ROUND(C19*(POWER((1+F24),F23/2)-1),0)+ROUND(C20*(POWER((1+F24),F23/2)-1),0))</f>
        <v>140291</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f ca="1">ROUND(J13*M23,0)</f>
        <v>0</v>
      </c>
      <c r="K23" s="435" t="s">
        <v>1334</v>
      </c>
      <c r="L23" s="375" t="s">
        <v>1301</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f ca="1">ROUND(J5*M24,0)</f>
        <v>0</v>
      </c>
      <c r="K24" s="428" t="s">
        <v>1337</v>
      </c>
      <c r="L24" s="401" t="s">
        <v>1301</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974</v>
      </c>
      <c r="B25" s="375" t="s">
        <v>1338</v>
      </c>
      <c r="C25" s="413"/>
      <c r="D25" s="420" t="s">
        <v>1339</v>
      </c>
      <c r="E25" s="421"/>
      <c r="F25" s="419"/>
      <c r="G25" s="339"/>
      <c r="H25" s="403" t="s">
        <v>1340</v>
      </c>
      <c r="I25" s="449" t="s">
        <v>1341</v>
      </c>
      <c r="J25" s="405">
        <f ca="1">J5-J16</f>
        <v>-28949</v>
      </c>
      <c r="K25" s="450" t="s">
        <v>1342</v>
      </c>
      <c r="L25" s="451"/>
      <c r="M25" s="452"/>
    </row>
    <row r="26" ht="18" customHeight="1" spans="1:13">
      <c r="A26" s="408" t="s">
        <v>938</v>
      </c>
      <c r="B26" s="375" t="s">
        <v>1343</v>
      </c>
      <c r="C26" s="413">
        <f ca="1">ROUND((C19+C20)*F26,0)</f>
        <v>678824</v>
      </c>
      <c r="D26" s="422" t="s">
        <v>1344</v>
      </c>
      <c r="E26" s="389" t="s">
        <v>1345</v>
      </c>
      <c r="F26" s="385">
        <f ca="1">INDIRECT("'数据-取费表'!q"&amp;$G$1)</f>
        <v>0.15</v>
      </c>
      <c r="G26" s="339"/>
      <c r="H26" s="365" t="s">
        <v>1346</v>
      </c>
      <c r="I26" s="366" t="s">
        <v>1347</v>
      </c>
      <c r="J26" s="453">
        <f ca="1">IF(J5&lt;&gt;0,ROUND(J25*(1-((1+M28)/(1+M26))^M27)/(M26-M28),0),0)</f>
        <v>0</v>
      </c>
      <c r="K26" s="441" t="s">
        <v>1348</v>
      </c>
      <c r="L26" s="375" t="s">
        <v>1349</v>
      </c>
      <c r="M26" s="385">
        <f ca="1">INDIRECT("'数据-取费表'!I"&amp;$G$1)</f>
        <v>0.055</v>
      </c>
    </row>
    <row r="27" ht="18" customHeight="1" spans="1:13">
      <c r="A27" s="408" t="s">
        <v>943</v>
      </c>
      <c r="B27" s="375" t="s">
        <v>1350</v>
      </c>
      <c r="C27" s="413">
        <f ca="1">ROUND(F21*F26,4)</f>
        <v>0.003</v>
      </c>
      <c r="D27" s="422" t="s">
        <v>1351</v>
      </c>
      <c r="E27" s="414"/>
      <c r="F27" s="415"/>
      <c r="G27" s="339"/>
      <c r="H27" s="382"/>
      <c r="I27" s="455"/>
      <c r="J27" s="383"/>
      <c r="K27" s="456" t="s">
        <v>1352</v>
      </c>
      <c r="L27" s="375" t="s">
        <v>1353</v>
      </c>
      <c r="M27" s="457">
        <f ca="1">INDIRECT("'数据-取费表'!ag"&amp;$G$1)</f>
        <v>0</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f ca="1">ROUND((C19+C20+C23+C26)/(1-F21-C24-C27-C28),0)</f>
        <v>5789848</v>
      </c>
      <c r="D29" s="428"/>
      <c r="E29" s="401"/>
      <c r="F29" s="429"/>
      <c r="G29" s="416"/>
      <c r="H29" s="430" t="s">
        <v>1358</v>
      </c>
      <c r="I29" s="460" t="s">
        <v>1359</v>
      </c>
      <c r="J29" s="461">
        <f ca="1">ROUND(J26/(1+F40)^F41,0)</f>
        <v>0</v>
      </c>
      <c r="K29" s="462" t="s">
        <v>1360</v>
      </c>
      <c r="L29" s="463"/>
      <c r="M29" s="464">
        <f ca="1">INDIRECT("'数据-取费表'!k"&amp;$G$1)</f>
        <v>1144.97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f ca="1">ROUND(C31+C36+C37+C38,0)</f>
        <v>68479</v>
      </c>
      <c r="D30" s="431" t="s">
        <v>1304</v>
      </c>
      <c r="E30" s="432"/>
      <c r="F30" s="370"/>
      <c r="G30" s="339"/>
      <c r="H30" s="433"/>
      <c r="I30" s="543"/>
      <c r="J30" s="544"/>
      <c r="K30" s="458"/>
      <c r="L30" s="545"/>
      <c r="M30" s="546"/>
    </row>
    <row r="31" ht="18" customHeight="1" spans="1:13">
      <c r="A31" s="408" t="s">
        <v>915</v>
      </c>
      <c r="B31" s="375" t="s">
        <v>1309</v>
      </c>
      <c r="C31" s="434">
        <f ca="1">ROUND(IF(AND(项目基本情况!B11="自然人",项目基本情况!B10="北京市"),C6*F31/(1+'数据-取费表'!C42),C32+C33+C34),0)</f>
        <v>30090</v>
      </c>
      <c r="D31" s="410" t="s">
        <v>1310</v>
      </c>
      <c r="E31" s="435" t="s">
        <v>1311</v>
      </c>
      <c r="F31" s="436">
        <f ca="1">IF(项目基本情况!B11="企业","——",IF(M47="住宅",IF(F6*F7*F8/12/(1+'数据-取费表'!F30)&gt;100000,4%,2.5%),IF(F6*F7*F8/12/(1+'数据-取费表'!F30)&gt;100000,12%,7%)))</f>
        <v>0.07</v>
      </c>
      <c r="G31" s="339"/>
      <c r="H31" s="437" t="s">
        <v>1361</v>
      </c>
      <c r="I31" s="543"/>
      <c r="J31" s="544"/>
      <c r="K31" s="458"/>
      <c r="L31" s="545"/>
      <c r="M31" s="546"/>
    </row>
    <row r="32" ht="18" customHeight="1" spans="1:13">
      <c r="A32" s="408" t="s">
        <v>938</v>
      </c>
      <c r="B32" s="375" t="s">
        <v>1313</v>
      </c>
      <c r="C32" s="413" t="str">
        <f ca="1">IF(项目基本情况!B11="自然人","——",ROUND(C6*F32/(1+'数据-取费表'!C42),0))</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IF(项目基本情况!B11="自然人","——",IF(D33="按租金收入计税",ROUND(C6*F33/(1+'数据-取费表'!C42),0),IF(D33="按房产原值计税",ROUND(C29*F33*0.7,0),INDIRECT("'数据-取费表'!Aj"&amp;$G$1))))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IF(项目基本情况!B11="自然人","——",ROUND(F34*F35,0))</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f ca="1">INDIRECT("'数据-取费表'!r"&amp;$G$1)</f>
        <v>0</v>
      </c>
      <c r="G35" s="339"/>
      <c r="H35" s="433"/>
      <c r="I35" s="543"/>
      <c r="J35" s="544"/>
      <c r="K35" s="547"/>
      <c r="L35" s="439"/>
      <c r="M35" s="439"/>
    </row>
    <row r="36" ht="18" customHeight="1" spans="1:13">
      <c r="A36" s="446" t="s">
        <v>919</v>
      </c>
      <c r="B36" s="375" t="s">
        <v>1329</v>
      </c>
      <c r="C36" s="413">
        <f ca="1">ROUND(C29*F36,0)</f>
        <v>28949</v>
      </c>
      <c r="D36" s="435" t="s">
        <v>1362</v>
      </c>
      <c r="E36" s="375" t="s">
        <v>1301</v>
      </c>
      <c r="F36" s="447">
        <f ca="1">INDIRECT("'数据-取费表'!Ak"&amp;$G$1)</f>
        <v>0.005</v>
      </c>
      <c r="G36" s="339"/>
      <c r="H36" s="439"/>
      <c r="I36" s="543"/>
      <c r="J36" s="544"/>
      <c r="K36" s="550"/>
      <c r="L36" s="439"/>
      <c r="M36" s="439"/>
    </row>
    <row r="37" ht="18" customHeight="1" spans="1:13">
      <c r="A37" s="408" t="s">
        <v>966</v>
      </c>
      <c r="B37" s="375" t="s">
        <v>1333</v>
      </c>
      <c r="C37" s="413">
        <f ca="1">ROUND(C13*F37,0)</f>
        <v>4921</v>
      </c>
      <c r="D37" s="435" t="s">
        <v>1334</v>
      </c>
      <c r="E37" s="375" t="s">
        <v>1301</v>
      </c>
      <c r="F37" s="448">
        <f ca="1">INDIRECT("'数据-取费表'!Al"&amp;$G$1)</f>
        <v>0.001</v>
      </c>
      <c r="G37" s="339"/>
      <c r="H37" s="439"/>
      <c r="I37" s="543"/>
      <c r="J37" s="544"/>
      <c r="K37" s="550"/>
      <c r="L37" s="439"/>
      <c r="M37" s="439"/>
    </row>
    <row r="38" ht="18" customHeight="1" spans="1:13">
      <c r="A38" s="417" t="s">
        <v>970</v>
      </c>
      <c r="B38" s="401" t="s">
        <v>1319</v>
      </c>
      <c r="C38" s="427">
        <f ca="1">ROUND(C5*F38,0)</f>
        <v>4519</v>
      </c>
      <c r="D38" s="428" t="s">
        <v>1337</v>
      </c>
      <c r="E38" s="401" t="s">
        <v>1301</v>
      </c>
      <c r="F38" s="402">
        <f ca="1">INDIRECT("'数据-取费表'!Am"&amp;$G$1)</f>
        <v>0.01</v>
      </c>
      <c r="G38" s="339"/>
      <c r="H38" s="439"/>
      <c r="I38" s="543"/>
      <c r="J38" s="544"/>
      <c r="K38" s="545"/>
      <c r="L38" s="439"/>
      <c r="M38" s="439"/>
    </row>
    <row r="39" ht="24.6" customHeight="1" spans="1:13">
      <c r="A39" s="403" t="s">
        <v>1340</v>
      </c>
      <c r="B39" s="449" t="s">
        <v>1341</v>
      </c>
      <c r="C39" s="405">
        <f ca="1">C5-C30</f>
        <v>383432</v>
      </c>
      <c r="D39" s="450" t="s">
        <v>1342</v>
      </c>
      <c r="E39" s="451"/>
      <c r="F39" s="452"/>
      <c r="G39" s="339"/>
      <c r="H39" s="439"/>
      <c r="I39" s="543"/>
      <c r="J39" s="544"/>
      <c r="K39" s="545"/>
      <c r="L39" s="439"/>
      <c r="M39" s="439"/>
    </row>
    <row r="40" ht="18" customHeight="1" spans="1:13">
      <c r="A40" s="365" t="s">
        <v>1346</v>
      </c>
      <c r="B40" s="366" t="s">
        <v>1363</v>
      </c>
      <c r="C40" s="453">
        <f ca="1">ROUND(C39*(1-((1+F42)/(1+F40))^F41)/(F40-F42),0)</f>
        <v>5599142</v>
      </c>
      <c r="D40" s="441" t="s">
        <v>1348</v>
      </c>
      <c r="E40" s="375" t="s">
        <v>1349</v>
      </c>
      <c r="F40" s="385">
        <f ca="1">INDIRECT("'数据-取费表'!I"&amp;$G$1)</f>
        <v>0.055</v>
      </c>
      <c r="G40" s="339"/>
      <c r="H40" s="454"/>
      <c r="I40" s="543"/>
      <c r="J40" s="544"/>
      <c r="K40" s="545"/>
      <c r="L40" s="454"/>
      <c r="M40" s="454"/>
    </row>
    <row r="41" ht="18" customHeight="1" spans="1:13">
      <c r="A41" s="382"/>
      <c r="B41" s="455"/>
      <c r="C41" s="383"/>
      <c r="D41" s="456" t="s">
        <v>1352</v>
      </c>
      <c r="E41" s="375" t="s">
        <v>1353</v>
      </c>
      <c r="F41" s="457">
        <f ca="1">IF(INDIRECT("'数据-取费表'!af"&amp;$G$1)=0,INDIRECT("'数据-取费表'!ae"&amp;$G$1),INDIRECT("'数据-取费表'!af"&amp;$G$1))</f>
        <v>21.21</v>
      </c>
      <c r="G41" s="339"/>
      <c r="H41" s="458"/>
      <c r="I41" s="543"/>
      <c r="J41" s="544"/>
      <c r="K41" s="550"/>
      <c r="L41" s="458"/>
      <c r="M41" s="458"/>
    </row>
    <row r="42" ht="18" customHeight="1" spans="1:13">
      <c r="A42" s="391"/>
      <c r="B42" s="459"/>
      <c r="C42" s="405"/>
      <c r="D42" s="445"/>
      <c r="E42" s="375" t="s">
        <v>1356</v>
      </c>
      <c r="F42" s="385">
        <f ca="1">INDIRECT("'数据-取费表'!v"&amp;$G$1)</f>
        <v>0.02</v>
      </c>
      <c r="G42" s="339"/>
      <c r="H42" s="458"/>
      <c r="I42" s="543"/>
      <c r="J42" s="544"/>
      <c r="K42" s="550"/>
      <c r="L42" s="458"/>
      <c r="M42" s="458"/>
    </row>
    <row r="43" ht="18" customHeight="1" spans="1:13">
      <c r="A43" s="430" t="s">
        <v>1358</v>
      </c>
      <c r="B43" s="460" t="s">
        <v>1364</v>
      </c>
      <c r="C43" s="461">
        <f ca="1">ROUND(C40/F43,0)</f>
        <v>4890</v>
      </c>
      <c r="D43" s="462" t="s">
        <v>1365</v>
      </c>
      <c r="E43" s="463" t="s">
        <v>1366</v>
      </c>
      <c r="F43" s="464">
        <f ca="1">INDIRECT("'数据-取费表'!k"&amp;$G$1)</f>
        <v>1144.97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1465</v>
      </c>
      <c r="B45" s="465"/>
      <c r="C45" s="2507">
        <f ca="1">ROUND((C68-C40)/10000,4)</f>
        <v>-601.7141</v>
      </c>
      <c r="D45" s="2508" t="s">
        <v>1466</v>
      </c>
      <c r="E45" s="465"/>
      <c r="F45" s="465"/>
      <c r="O45" s="588" t="s">
        <v>1367</v>
      </c>
      <c r="P45" s="454"/>
      <c r="Q45" s="454"/>
      <c r="R45" s="454"/>
    </row>
    <row r="46" s="339" customFormat="1" ht="13.75" spans="1:18">
      <c r="A46" s="467" t="s">
        <v>1368</v>
      </c>
      <c r="C46" s="468">
        <f ca="1">ROUND(C45,0)</f>
        <v>-602</v>
      </c>
      <c r="D46" s="469" t="str">
        <f>C2</f>
        <v>万元</v>
      </c>
      <c r="I46" s="554" t="s">
        <v>1369</v>
      </c>
      <c r="J46" s="555"/>
      <c r="K46" s="556"/>
      <c r="L46" s="557">
        <f ca="1">IF(M47="住宅",0,IF(L48&gt;J51,L60,J60))</f>
        <v>620655</v>
      </c>
      <c r="O46" s="558" t="s">
        <v>1370</v>
      </c>
      <c r="P46" s="559" t="s">
        <v>1371</v>
      </c>
      <c r="Q46" s="605" t="s">
        <v>1372</v>
      </c>
      <c r="R46" s="605" t="s">
        <v>1373</v>
      </c>
    </row>
    <row r="47" s="339" customFormat="1" ht="13.75" spans="1:18">
      <c r="A47" s="470" t="s">
        <v>1273</v>
      </c>
      <c r="B47" s="471" t="s">
        <v>1274</v>
      </c>
      <c r="C47" s="471" t="s">
        <v>1275</v>
      </c>
      <c r="D47" s="471" t="s">
        <v>1276</v>
      </c>
      <c r="E47" s="473" t="s">
        <v>1277</v>
      </c>
      <c r="F47" s="474"/>
      <c r="G47" s="475"/>
      <c r="I47" s="560" t="s">
        <v>1374</v>
      </c>
      <c r="J47" s="561" t="s">
        <v>1375</v>
      </c>
      <c r="K47" s="562" t="s">
        <v>1376</v>
      </c>
      <c r="L47" s="563">
        <f ca="1">INDIRECT("'数据-取费表'!d"&amp;$G$1)</f>
        <v>40</v>
      </c>
      <c r="M47" s="564" t="str">
        <f>IF(ISNUMBER(FIND("住宅",C1)),"住宅","非住宅")</f>
        <v>非住宅</v>
      </c>
      <c r="O47" s="565" t="s">
        <v>1024</v>
      </c>
      <c r="P47" s="566" t="s">
        <v>1377</v>
      </c>
      <c r="Q47" s="606">
        <f ca="1">C40+J29</f>
        <v>5599142</v>
      </c>
      <c r="R47" s="606" t="s">
        <v>1378</v>
      </c>
    </row>
    <row r="48" s="339" customFormat="1" ht="42.75" spans="1:18">
      <c r="A48" s="476" t="s">
        <v>1379</v>
      </c>
      <c r="B48" s="366" t="s">
        <v>1278</v>
      </c>
      <c r="C48" s="477">
        <f ca="1">C49+C53+C55</f>
        <v>0</v>
      </c>
      <c r="D48" s="478"/>
      <c r="E48" s="479"/>
      <c r="F48" s="480"/>
      <c r="G48" s="475"/>
      <c r="H48" s="481"/>
      <c r="I48" s="567" t="s">
        <v>1380</v>
      </c>
      <c r="J48" s="568" t="s">
        <v>1381</v>
      </c>
      <c r="K48" s="569" t="s">
        <v>1382</v>
      </c>
      <c r="L48" s="570">
        <f ca="1">INDIRECT("'数据-取费表'!f"&amp;$G$1)</f>
        <v>21.21</v>
      </c>
      <c r="O48" s="565" t="s">
        <v>1028</v>
      </c>
      <c r="P48" s="566" t="s">
        <v>1383</v>
      </c>
      <c r="Q48" s="606">
        <f ca="1">J60</f>
        <v>620655</v>
      </c>
      <c r="R48" s="606" t="s">
        <v>1384</v>
      </c>
    </row>
    <row r="49" s="339" customFormat="1" ht="13.75" spans="1:18">
      <c r="A49" s="482" t="s">
        <v>1385</v>
      </c>
      <c r="B49" s="483" t="s">
        <v>1386</v>
      </c>
      <c r="C49" s="484">
        <f ca="1">ROUND(F49*F51*F50*(1-F52),0)</f>
        <v>0</v>
      </c>
      <c r="D49" s="485" t="s">
        <v>1467</v>
      </c>
      <c r="E49" s="486" t="s">
        <v>1387</v>
      </c>
      <c r="F49" s="487"/>
      <c r="H49" s="481"/>
      <c r="I49" s="567" t="s">
        <v>1388</v>
      </c>
      <c r="J49" s="571">
        <v>2015</v>
      </c>
      <c r="K49" s="569" t="s">
        <v>1389</v>
      </c>
      <c r="L49" s="572"/>
      <c r="O49" s="573" t="s">
        <v>1390</v>
      </c>
      <c r="P49" s="566" t="s">
        <v>1391</v>
      </c>
      <c r="Q49" s="606">
        <f ca="1">C29</f>
        <v>5789848</v>
      </c>
      <c r="R49" s="606" t="s">
        <v>1378</v>
      </c>
    </row>
    <row r="50" s="339" customFormat="1" ht="13.75" spans="1:18">
      <c r="A50" s="488"/>
      <c r="B50" s="489"/>
      <c r="C50" s="495"/>
      <c r="D50" s="491"/>
      <c r="E50" s="492" t="s">
        <v>1284</v>
      </c>
      <c r="F50" s="493">
        <f ca="1">F7</f>
        <v>1144.97</v>
      </c>
      <c r="H50" s="481"/>
      <c r="I50" s="567" t="s">
        <v>1392</v>
      </c>
      <c r="J50" s="574">
        <f>SUMPRODUCT((I63:I65=J47)*(J62:L62=J48)*(J63:L65))</f>
        <v>60</v>
      </c>
      <c r="K50" s="569" t="s">
        <v>1393</v>
      </c>
      <c r="L50" s="572"/>
      <c r="M50" s="575"/>
      <c r="O50" s="573" t="s">
        <v>1394</v>
      </c>
      <c r="P50" s="566" t="s">
        <v>1395</v>
      </c>
      <c r="Q50" s="607">
        <f ca="1">J58</f>
        <v>0.497</v>
      </c>
      <c r="R50" s="606"/>
    </row>
    <row r="51" s="339" customFormat="1" ht="13.75" spans="1:18">
      <c r="A51" s="494"/>
      <c r="B51" s="489"/>
      <c r="C51" s="495"/>
      <c r="D51" s="491"/>
      <c r="E51" s="496" t="s">
        <v>1285</v>
      </c>
      <c r="F51" s="376">
        <f ca="1">F8</f>
        <v>365</v>
      </c>
      <c r="I51" s="576" t="s">
        <v>1396</v>
      </c>
      <c r="J51" s="570">
        <f>IF(J49="",J50,J49+J50-YEAR('数据-取费表'!B2))</f>
        <v>51</v>
      </c>
      <c r="K51" s="577" t="s">
        <v>1397</v>
      </c>
      <c r="L51" s="578">
        <f ca="1">ROUND(-PV(INDIRECT("'数据-取费表'!h"&amp;$G$1),J51,(C39-C13*C76),0),0)</f>
        <v>714047</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f ca="1">J53</f>
        <v>21.21</v>
      </c>
      <c r="R52" s="606" t="s">
        <v>1404</v>
      </c>
    </row>
    <row r="53" s="339" customFormat="1" ht="30.75" customHeight="1" spans="1:18">
      <c r="A53" s="2509" t="s">
        <v>1405</v>
      </c>
      <c r="B53" s="422" t="s">
        <v>1287</v>
      </c>
      <c r="C53" s="387">
        <f ca="1">ROUND(IF(F53="押一",C49/12*F11,IF(F53="押二",C49/12*2*F11,IF(F53="押三",C49/12*3*F11,C54*F11))),0)</f>
        <v>0</v>
      </c>
      <c r="D53" s="388" t="s">
        <v>1468</v>
      </c>
      <c r="E53" s="389" t="s">
        <v>1289</v>
      </c>
      <c r="F53" s="390"/>
      <c r="I53" s="582" t="s">
        <v>1406</v>
      </c>
      <c r="J53" s="583">
        <f ca="1">IF(M47="住宅",IF(D1="——",MAX(J51,L48),MAX(J51,L48-'数据-取费表'!B24)),IF(D1="——",MIN(J51,L48),MIN(J51,L48-'数据-取费表'!B24)))</f>
        <v>21.21</v>
      </c>
      <c r="K53" s="584" t="s">
        <v>1407</v>
      </c>
      <c r="L53" s="585"/>
      <c r="O53" s="565" t="s">
        <v>1129</v>
      </c>
      <c r="P53" s="566" t="s">
        <v>1408</v>
      </c>
      <c r="Q53" s="606">
        <f ca="1">Q47+Q48</f>
        <v>6219797</v>
      </c>
      <c r="R53" s="606" t="s">
        <v>1409</v>
      </c>
    </row>
    <row r="54" s="339" customFormat="1" ht="13.75" spans="1:18">
      <c r="A54" s="482"/>
      <c r="B54" s="2510" t="s">
        <v>1464</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1410</v>
      </c>
      <c r="P54" s="353"/>
      <c r="Q54" s="353"/>
      <c r="R54" s="353"/>
    </row>
    <row r="55" s="339" customFormat="1" ht="13.75" spans="1:18">
      <c r="A55" s="397" t="s">
        <v>966</v>
      </c>
      <c r="B55" s="398" t="s">
        <v>1293</v>
      </c>
      <c r="C55" s="399"/>
      <c r="D55" s="388"/>
      <c r="E55" s="501"/>
      <c r="F55" s="502"/>
      <c r="I55" s="589" t="s">
        <v>1411</v>
      </c>
      <c r="J55" s="590">
        <f ca="1">ROUND(IF(J47="钢混",J57/J50,1-(1-2%)*(J50-J57)/J50),3)</f>
        <v>0.497</v>
      </c>
      <c r="K55" s="591" t="s">
        <v>1412</v>
      </c>
      <c r="L55" s="592"/>
      <c r="O55" s="558" t="s">
        <v>1370</v>
      </c>
      <c r="P55" s="559" t="s">
        <v>1371</v>
      </c>
      <c r="Q55" s="605" t="s">
        <v>1372</v>
      </c>
      <c r="R55" s="605" t="s">
        <v>1373</v>
      </c>
    </row>
    <row r="56" s="339" customFormat="1" ht="36" customHeight="1" spans="1:18">
      <c r="A56" s="503">
        <v>2</v>
      </c>
      <c r="B56" s="504" t="s">
        <v>1294</v>
      </c>
      <c r="C56" s="505">
        <f ca="1">C13</f>
        <v>4921371</v>
      </c>
      <c r="D56" s="506"/>
      <c r="E56" s="507"/>
      <c r="F56" s="502"/>
      <c r="I56" s="593" t="s">
        <v>1414</v>
      </c>
      <c r="J56" s="594" t="s">
        <v>1415</v>
      </c>
      <c r="K56" s="567" t="s">
        <v>1416</v>
      </c>
      <c r="L56" s="570" t="str">
        <f ca="1">IF(L48&lt;J51,"——",L48-J51)</f>
        <v>——</v>
      </c>
      <c r="O56" s="565" t="s">
        <v>1024</v>
      </c>
      <c r="P56" s="566" t="s">
        <v>1377</v>
      </c>
      <c r="Q56" s="606">
        <f ca="1">C40+J29</f>
        <v>5599142</v>
      </c>
      <c r="R56" s="606" t="s">
        <v>1378</v>
      </c>
    </row>
    <row r="57" s="339" customFormat="1" ht="26.75" spans="1:18">
      <c r="A57" s="508"/>
      <c r="B57" s="509" t="s">
        <v>1357</v>
      </c>
      <c r="C57" s="510">
        <f ca="1">C29</f>
        <v>5789848</v>
      </c>
      <c r="D57" s="511"/>
      <c r="E57" s="512"/>
      <c r="F57" s="513"/>
      <c r="I57" s="595" t="s">
        <v>1417</v>
      </c>
      <c r="J57" s="596">
        <f ca="1">IF(OR(M47="住宅",J51&lt;L48,J56="是"),"——",J51-L48)</f>
        <v>29.79</v>
      </c>
      <c r="K57" s="567" t="s">
        <v>1469</v>
      </c>
      <c r="L57" s="570" t="str">
        <f ca="1">IF(L48&lt;J51,"——",IF(L55="比较法",L49,IF(L55="基准地价",L50,L51)))</f>
        <v>——</v>
      </c>
      <c r="O57" s="565" t="s">
        <v>1028</v>
      </c>
      <c r="P57" s="566" t="s">
        <v>1419</v>
      </c>
      <c r="Q57" s="606">
        <f ca="1">L60</f>
        <v>0</v>
      </c>
      <c r="R57" s="606" t="s">
        <v>1420</v>
      </c>
    </row>
    <row r="58" s="339" customFormat="1" ht="26.75" spans="1:18">
      <c r="A58" s="514" t="s">
        <v>1302</v>
      </c>
      <c r="B58" s="504" t="s">
        <v>1303</v>
      </c>
      <c r="C58" s="387">
        <f ca="1">ROUND(C59+C64+C65+C66,0)</f>
        <v>33870</v>
      </c>
      <c r="D58" s="515" t="s">
        <v>1304</v>
      </c>
      <c r="E58" s="516"/>
      <c r="F58" s="480"/>
      <c r="I58" s="595" t="s">
        <v>1421</v>
      </c>
      <c r="J58" s="597">
        <f ca="1">IF(J55&lt;0.4,0.4,J55)</f>
        <v>0.497</v>
      </c>
      <c r="K58" s="577" t="s">
        <v>1470</v>
      </c>
      <c r="L58" s="570" t="e">
        <f ca="1">ROUND(POWER(1+L52,L47-L48)*(POWER(1+L52,L48)-1)/(POWER(1+L52,L47)-1),4)</f>
        <v>#DIV/0!</v>
      </c>
      <c r="O58" s="573" t="s">
        <v>1390</v>
      </c>
      <c r="P58" s="566" t="s">
        <v>1423</v>
      </c>
      <c r="Q58" s="606">
        <f>IF(L55="比较法",L49,IF(L55="基准地价",L50,0))</f>
        <v>0</v>
      </c>
      <c r="R58" s="606" t="s">
        <v>1378</v>
      </c>
    </row>
    <row r="59" s="339" customFormat="1" ht="26.75" spans="1:18">
      <c r="A59" s="408" t="s">
        <v>915</v>
      </c>
      <c r="B59" s="509" t="s">
        <v>1309</v>
      </c>
      <c r="C59" s="434">
        <f ca="1">ROUND(IF(AND(项目基本情况!B11="自然人",项目基本情况!B10="北京市"),C49*F59/(1+'数据-取费表'!C42),C60+C61+C62),0)</f>
        <v>0</v>
      </c>
      <c r="D59" s="517" t="s">
        <v>1310</v>
      </c>
      <c r="E59" s="518" t="s">
        <v>1311</v>
      </c>
      <c r="F59" s="436">
        <f ca="1">IF(项目基本情况!B11="企业","——",IF('数据-取费表'!B10="住宅",IF(F49*F50*F51/12/(1+'数据-取费表'!F30)&gt;100000,4%,2.5%),IF(F49*F50*F51/12/(1+'数据-取费表'!F30)&gt;100000,12%,7%)))</f>
        <v>0.07</v>
      </c>
      <c r="I59" s="595" t="s">
        <v>1424</v>
      </c>
      <c r="J59" s="596">
        <f ca="1">IF(OR(M47="住宅",J51&lt;L48,J56="是"),"——",ROUND(C29*J58,0))</f>
        <v>2877554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1394</v>
      </c>
      <c r="P59" s="566" t="s">
        <v>1425</v>
      </c>
      <c r="Q59" s="607">
        <f>L52</f>
        <v>0</v>
      </c>
      <c r="R59" s="606"/>
    </row>
    <row r="60" s="339" customFormat="1" ht="16.75" spans="1:18">
      <c r="A60" s="408" t="s">
        <v>938</v>
      </c>
      <c r="B60" s="509" t="s">
        <v>1313</v>
      </c>
      <c r="C60" s="413" t="str">
        <f ca="1">IF(项目基本情况!B11="自然人","——",ROUND(C48*F60/(1+'数据-取费表'!C42),0))</f>
        <v>——</v>
      </c>
      <c r="D60" s="518" t="s">
        <v>1314</v>
      </c>
      <c r="E60" s="509" t="s">
        <v>1301</v>
      </c>
      <c r="F60" s="426">
        <f t="shared" ref="F60:F66" si="0">F32</f>
        <v>0.056</v>
      </c>
      <c r="I60" s="598" t="s">
        <v>1426</v>
      </c>
      <c r="J60" s="599">
        <f ca="1">IF(OR(M47="住宅",J51&lt;L48,J56="是"),"0",ROUND(J59/(1+J52)^J53,0))</f>
        <v>620655</v>
      </c>
      <c r="K60" s="600" t="s">
        <v>1427</v>
      </c>
      <c r="L60" s="599">
        <f ca="1">IF(OR(M47="住宅",L48&lt;J51),0,ROUND(L57*(L58/L59-1),0))</f>
        <v>0</v>
      </c>
      <c r="O60" s="573" t="s">
        <v>1398</v>
      </c>
      <c r="P60" s="566" t="s">
        <v>1428</v>
      </c>
      <c r="Q60" s="606" t="e">
        <f ca="1">L58</f>
        <v>#DIV/0!</v>
      </c>
      <c r="R60" s="606" t="s">
        <v>1429</v>
      </c>
    </row>
    <row r="61" s="339" customFormat="1" ht="13.75" spans="1:18">
      <c r="A61" s="408" t="s">
        <v>943</v>
      </c>
      <c r="B61" s="509" t="s">
        <v>1317</v>
      </c>
      <c r="C61" s="413" t="str">
        <f ca="1">IF(项目基本情况!B11="自然人","——",IF(D61="按租金收入计税",ROUND(C49*F61/(1+'数据-取费表'!C42),0),IF(D61="按房产原值计税",ROUND(C57*F61*0.7,0),INDIRECT("'数据-取费表'!Aj"&amp;$G$1))))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#DIV/0!</v>
      </c>
      <c r="R61" s="606" t="s">
        <v>1430</v>
      </c>
    </row>
    <row r="62" s="339" customFormat="1" ht="13.75" spans="1:18">
      <c r="A62" s="408" t="s">
        <v>946</v>
      </c>
      <c r="B62" s="519" t="s">
        <v>1321</v>
      </c>
      <c r="C62" s="440" t="str">
        <f ca="1">IF(项目基本情况!B11="自然人","——",ROUND(F62*F63,0))</f>
        <v>——</v>
      </c>
      <c r="D62" s="520" t="s">
        <v>1322</v>
      </c>
      <c r="E62" s="509" t="s">
        <v>1323</v>
      </c>
      <c r="F62" s="425">
        <f t="shared" si="0"/>
        <v>0</v>
      </c>
      <c r="I62" s="601" t="s">
        <v>1431</v>
      </c>
      <c r="J62" s="602" t="s">
        <v>1432</v>
      </c>
      <c r="K62" s="602" t="s">
        <v>1433</v>
      </c>
      <c r="L62" s="602" t="s">
        <v>1434</v>
      </c>
      <c r="M62" s="603" t="s">
        <v>1435</v>
      </c>
      <c r="O62" s="565" t="s">
        <v>1129</v>
      </c>
      <c r="P62" s="566" t="s">
        <v>1408</v>
      </c>
      <c r="Q62" s="606">
        <f ca="1">Q56+Q57</f>
        <v>5599142</v>
      </c>
      <c r="R62" s="606" t="s">
        <v>1409</v>
      </c>
    </row>
    <row r="63" s="339" customFormat="1" ht="13.75" spans="1:18">
      <c r="A63" s="423"/>
      <c r="B63" s="521"/>
      <c r="C63" s="444"/>
      <c r="D63" s="522"/>
      <c r="E63" s="509" t="s">
        <v>1327</v>
      </c>
      <c r="F63" s="376">
        <f ca="1" t="shared" si="0"/>
        <v>0</v>
      </c>
      <c r="I63" s="601" t="s">
        <v>1436</v>
      </c>
      <c r="J63" s="602">
        <v>70</v>
      </c>
      <c r="K63" s="602">
        <v>50</v>
      </c>
      <c r="L63" s="602">
        <v>80</v>
      </c>
      <c r="M63" s="604">
        <v>0.02</v>
      </c>
      <c r="O63" s="588" t="s">
        <v>1437</v>
      </c>
      <c r="P63" s="353"/>
      <c r="Q63" s="353"/>
      <c r="R63" s="353"/>
    </row>
    <row r="64" s="339" customFormat="1" ht="13.75" spans="1:18">
      <c r="A64" s="408" t="s">
        <v>919</v>
      </c>
      <c r="B64" s="509" t="s">
        <v>1329</v>
      </c>
      <c r="C64" s="413">
        <f ca="1">ROUND(C57*F64,0)</f>
        <v>28949</v>
      </c>
      <c r="D64" s="518" t="s">
        <v>1362</v>
      </c>
      <c r="E64" s="509" t="s">
        <v>1301</v>
      </c>
      <c r="F64" s="447">
        <f ca="1" t="shared" si="0"/>
        <v>0.005</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f ca="1">ROUND(C56*F65,0)</f>
        <v>4921</v>
      </c>
      <c r="D65" s="518" t="s">
        <v>1334</v>
      </c>
      <c r="E65" s="509" t="s">
        <v>1301</v>
      </c>
      <c r="F65" s="448">
        <f ca="1" t="shared" si="0"/>
        <v>0.001</v>
      </c>
      <c r="I65" s="601" t="s">
        <v>1439</v>
      </c>
      <c r="J65" s="602">
        <v>40</v>
      </c>
      <c r="K65" s="602">
        <v>30</v>
      </c>
      <c r="L65" s="602">
        <v>50</v>
      </c>
      <c r="M65" s="604">
        <v>0.02</v>
      </c>
      <c r="O65" s="565" t="s">
        <v>1024</v>
      </c>
      <c r="P65" s="566" t="s">
        <v>1377</v>
      </c>
      <c r="Q65" s="606">
        <f ca="1">C40+J29</f>
        <v>5599142</v>
      </c>
      <c r="R65" s="606" t="s">
        <v>1378</v>
      </c>
    </row>
    <row r="66" s="339" customFormat="1" ht="16.75" spans="1:18">
      <c r="A66" s="408" t="s">
        <v>970</v>
      </c>
      <c r="B66" s="509" t="s">
        <v>1319</v>
      </c>
      <c r="C66" s="413">
        <f ca="1">ROUND(C48*F66,0)</f>
        <v>0</v>
      </c>
      <c r="D66" s="518" t="s">
        <v>1337</v>
      </c>
      <c r="E66" s="509" t="s">
        <v>1301</v>
      </c>
      <c r="F66" s="385">
        <f ca="1" t="shared" si="0"/>
        <v>0.01</v>
      </c>
      <c r="O66" s="565" t="s">
        <v>1028</v>
      </c>
      <c r="P66" s="566" t="s">
        <v>1419</v>
      </c>
      <c r="Q66" s="606">
        <f ca="1">L60</f>
        <v>0</v>
      </c>
      <c r="R66" s="606" t="s">
        <v>1420</v>
      </c>
    </row>
    <row r="67" s="339" customFormat="1" ht="26.75" spans="1:18">
      <c r="A67" s="503" t="s">
        <v>1340</v>
      </c>
      <c r="B67" s="608" t="s">
        <v>1341</v>
      </c>
      <c r="C67" s="387">
        <f ca="1">C48-C58</f>
        <v>-33870</v>
      </c>
      <c r="D67" s="517" t="s">
        <v>1342</v>
      </c>
      <c r="E67" s="609"/>
      <c r="F67" s="610"/>
      <c r="O67" s="573" t="s">
        <v>1390</v>
      </c>
      <c r="P67" s="566" t="s">
        <v>1423</v>
      </c>
      <c r="Q67" s="635">
        <f ca="1">L51</f>
        <v>714047</v>
      </c>
      <c r="R67" s="606" t="s">
        <v>1440</v>
      </c>
    </row>
    <row r="68" s="339" customFormat="1" ht="16.75" spans="1:18">
      <c r="A68" s="611" t="s">
        <v>1346</v>
      </c>
      <c r="B68" s="612" t="s">
        <v>1363</v>
      </c>
      <c r="C68" s="453">
        <f ca="1">ROUND(C67*(1-((1+F70)/(1+F68))^F69)/(F68-F70),0)</f>
        <v>-417999</v>
      </c>
      <c r="D68" s="520" t="s">
        <v>1348</v>
      </c>
      <c r="E68" s="509" t="s">
        <v>1349</v>
      </c>
      <c r="F68" s="385">
        <f ca="1">F40</f>
        <v>0.055</v>
      </c>
      <c r="O68" s="573" t="s">
        <v>1394</v>
      </c>
      <c r="P68" s="634" t="s">
        <v>1441</v>
      </c>
      <c r="Q68" s="606">
        <f ca="1">ROUND(Q69-Q70*Q71,0)</f>
        <v>38936</v>
      </c>
      <c r="R68" s="606" t="s">
        <v>1442</v>
      </c>
    </row>
    <row r="69" s="339" customFormat="1" ht="13.75" spans="1:18">
      <c r="A69" s="613"/>
      <c r="B69" s="614"/>
      <c r="C69" s="383"/>
      <c r="D69" s="615" t="s">
        <v>1352</v>
      </c>
      <c r="E69" s="509" t="s">
        <v>1353</v>
      </c>
      <c r="F69" s="457">
        <f ca="1">F41</f>
        <v>21.21</v>
      </c>
      <c r="O69" s="573" t="s">
        <v>1443</v>
      </c>
      <c r="P69" s="634" t="s">
        <v>1444</v>
      </c>
      <c r="Q69" s="606">
        <f ca="1">C39</f>
        <v>383432</v>
      </c>
      <c r="R69" s="606" t="s">
        <v>1378</v>
      </c>
    </row>
    <row r="70" s="339" customFormat="1" ht="13.75" spans="1:18">
      <c r="A70" s="616"/>
      <c r="B70" s="617"/>
      <c r="C70" s="405"/>
      <c r="D70" s="522"/>
      <c r="E70" s="509" t="s">
        <v>1356</v>
      </c>
      <c r="F70" s="497"/>
      <c r="O70" s="573" t="s">
        <v>1445</v>
      </c>
      <c r="P70" s="634" t="s">
        <v>1446</v>
      </c>
      <c r="Q70" s="606">
        <f ca="1">C13</f>
        <v>4921371</v>
      </c>
      <c r="R70" s="606" t="s">
        <v>1378</v>
      </c>
    </row>
    <row r="71" s="339" customFormat="1" ht="13.75" spans="1:18">
      <c r="A71" s="618" t="s">
        <v>1358</v>
      </c>
      <c r="B71" s="619" t="s">
        <v>1364</v>
      </c>
      <c r="C71" s="461">
        <f ca="1">ROUND(C68/F71,0)</f>
        <v>-365</v>
      </c>
      <c r="D71" s="620" t="s">
        <v>1365</v>
      </c>
      <c r="E71" s="621" t="s">
        <v>1366</v>
      </c>
      <c r="F71" s="464">
        <f ca="1">F43</f>
        <v>1144.97</v>
      </c>
      <c r="O71" s="573" t="s">
        <v>1447</v>
      </c>
      <c r="P71" s="634" t="s">
        <v>1448</v>
      </c>
      <c r="Q71" s="607">
        <f ca="1">C76</f>
        <v>0.07</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#DIV/0!</v>
      </c>
      <c r="R73" s="606" t="s">
        <v>1429</v>
      </c>
    </row>
    <row r="74" ht="13.75" spans="1:18">
      <c r="A74" s="339"/>
      <c r="B74" s="622" t="s">
        <v>1449</v>
      </c>
      <c r="C74" s="623"/>
      <c r="D74" s="339"/>
      <c r="E74" s="339"/>
      <c r="F74" s="339"/>
      <c r="O74" s="573" t="s">
        <v>1450</v>
      </c>
      <c r="P74" s="566" t="str">
        <f>K59</f>
        <v>建筑物剩余耐用年限下的土地年期修正系数Kn</v>
      </c>
      <c r="Q74" s="606" t="e">
        <f ca="1">L59</f>
        <v>#DIV/0!</v>
      </c>
      <c r="R74" s="606" t="s">
        <v>1430</v>
      </c>
    </row>
    <row r="75" ht="13.75" spans="1:18">
      <c r="A75" s="339"/>
      <c r="B75" s="624" t="s">
        <v>1451</v>
      </c>
      <c r="C75" s="625">
        <f ca="1">ROUND(C13*C76,0)</f>
        <v>344496</v>
      </c>
      <c r="D75" s="339"/>
      <c r="E75" s="339"/>
      <c r="F75" s="339"/>
      <c r="K75" s="551"/>
      <c r="L75" s="339"/>
      <c r="O75" s="565" t="s">
        <v>1129</v>
      </c>
      <c r="P75" s="566" t="s">
        <v>1408</v>
      </c>
      <c r="Q75" s="606">
        <f ca="1">Q65+Q66</f>
        <v>5599142</v>
      </c>
      <c r="R75" s="606" t="s">
        <v>1409</v>
      </c>
    </row>
    <row r="76" ht="13" spans="2:12">
      <c r="B76" s="626" t="s">
        <v>1452</v>
      </c>
      <c r="C76" s="627">
        <f ca="1">INDIRECT("'数据-取费表'!j"&amp;$G$1)</f>
        <v>0.07</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f ca="1">1-C80</f>
        <v>0.102</v>
      </c>
    </row>
    <row r="80" ht="13" spans="2:3">
      <c r="B80" s="624" t="s">
        <v>1456</v>
      </c>
      <c r="C80" s="632">
        <f ca="1">ROUND(C75/C39,3)</f>
        <v>0.898</v>
      </c>
    </row>
    <row r="81" ht="13" spans="2:3">
      <c r="B81" s="630" t="s">
        <v>1457</v>
      </c>
      <c r="C81" s="510"/>
    </row>
    <row r="82" ht="13" spans="2:3">
      <c r="B82" s="622" t="s">
        <v>1105</v>
      </c>
      <c r="C82" s="633">
        <f ca="1">1-C83</f>
        <v>0.121</v>
      </c>
    </row>
    <row r="83" ht="13" spans="2:3">
      <c r="B83" s="622" t="s">
        <v>1106</v>
      </c>
      <c r="C83" s="632">
        <f ca="1">ROUND(C13/C40,3)</f>
        <v>0.879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1471</v>
      </c>
      <c r="B1" s="2326"/>
      <c r="C1" s="2327"/>
      <c r="D1" s="2327"/>
      <c r="E1" s="2328"/>
      <c r="F1" s="2329"/>
      <c r="G1" s="2330"/>
      <c r="J1" s="2435" t="s">
        <v>1472</v>
      </c>
      <c r="K1" s="2436"/>
      <c r="L1" s="2436"/>
      <c r="M1" s="2436"/>
      <c r="N1" s="2436"/>
      <c r="O1" s="2436"/>
      <c r="P1" s="2436"/>
      <c r="Q1" s="2436"/>
      <c r="R1" s="2482"/>
      <c r="S1" s="2395"/>
      <c r="T1" s="2395"/>
      <c r="U1" s="2395"/>
    </row>
    <row r="2" s="2319" customFormat="1" customHeight="1" spans="1:22">
      <c r="A2" s="351" t="s">
        <v>1268</v>
      </c>
      <c r="B2" s="2331" t="e">
        <f>IF(D2="——",C40,C40+E2)</f>
        <v>#DIV/0!</v>
      </c>
      <c r="C2" s="2327" t="s">
        <v>1269</v>
      </c>
      <c r="D2" s="2332" t="s">
        <v>1473</v>
      </c>
      <c r="E2" s="2333"/>
      <c r="F2" s="2334"/>
      <c r="G2" s="2335"/>
      <c r="H2" s="2336"/>
      <c r="I2" s="2426"/>
      <c r="J2" s="2437" t="s">
        <v>1474</v>
      </c>
      <c r="K2" s="2438"/>
      <c r="L2" s="2439" t="s">
        <v>1475</v>
      </c>
      <c r="M2" s="2439" t="s">
        <v>1476</v>
      </c>
      <c r="N2" s="2439" t="s">
        <v>1477</v>
      </c>
      <c r="O2" s="2439" t="s">
        <v>1478</v>
      </c>
      <c r="P2" s="2439" t="s">
        <v>1479</v>
      </c>
      <c r="Q2" s="2483" t="s">
        <v>1480</v>
      </c>
      <c r="R2" s="2484" t="s">
        <v>1481</v>
      </c>
      <c r="S2" s="2395"/>
      <c r="T2" s="2395"/>
      <c r="U2" s="2395"/>
      <c r="V2" s="2426"/>
    </row>
    <row r="3" s="2319" customFormat="1" customHeight="1" spans="1:22">
      <c r="A3" s="2337" t="s">
        <v>1270</v>
      </c>
      <c r="B3" s="2338" t="e">
        <f>ROUND(B2*10000/B4,0)</f>
        <v>#DIV/0!</v>
      </c>
      <c r="C3" s="2327" t="s">
        <v>1271</v>
      </c>
      <c r="D3" s="2327"/>
      <c r="E3" s="2339"/>
      <c r="F3" s="2334"/>
      <c r="G3" s="2335"/>
      <c r="H3" s="2336"/>
      <c r="I3" s="2426"/>
      <c r="J3" s="2440" t="s">
        <v>1482</v>
      </c>
      <c r="K3" s="2441"/>
      <c r="L3" s="2442"/>
      <c r="M3" s="2442"/>
      <c r="N3" s="2442"/>
      <c r="O3" s="2442"/>
      <c r="P3" s="2442"/>
      <c r="Q3" s="2485"/>
      <c r="R3" s="2486">
        <f>SUM(L3:Q3)</f>
        <v>0</v>
      </c>
      <c r="S3" s="2395"/>
      <c r="T3" s="2395"/>
      <c r="U3" s="2395"/>
      <c r="V3" s="2426"/>
    </row>
    <row r="4" s="2319" customFormat="1" customHeight="1" spans="1:22">
      <c r="A4" s="2340" t="s">
        <v>1483</v>
      </c>
      <c r="B4" s="2341"/>
      <c r="C4" s="2327"/>
      <c r="D4" s="2327"/>
      <c r="E4" s="2339"/>
      <c r="F4" s="2334"/>
      <c r="G4" s="2335"/>
      <c r="H4" s="2336"/>
      <c r="I4" s="2426"/>
      <c r="J4" s="2440" t="s">
        <v>1484</v>
      </c>
      <c r="K4" s="2441"/>
      <c r="L4" s="2443"/>
      <c r="M4" s="2443"/>
      <c r="N4" s="2443"/>
      <c r="O4" s="2443"/>
      <c r="P4" s="2443"/>
      <c r="Q4" s="2487"/>
      <c r="R4" s="2488">
        <f>SUM(L4:Q4)</f>
        <v>0</v>
      </c>
      <c r="S4" s="2395"/>
      <c r="T4" s="2395"/>
      <c r="U4" s="2395"/>
      <c r="V4" s="2426"/>
    </row>
    <row r="5" s="2319" customFormat="1" customHeight="1" spans="1:22">
      <c r="A5" s="2342" t="s">
        <v>1485</v>
      </c>
      <c r="B5" s="2343"/>
      <c r="C5" s="2327"/>
      <c r="D5" s="2344"/>
      <c r="E5" s="2334"/>
      <c r="F5" s="2334"/>
      <c r="G5" s="2335"/>
      <c r="H5" s="2336"/>
      <c r="I5" s="2426"/>
      <c r="J5" s="2444" t="s">
        <v>1486</v>
      </c>
      <c r="K5" s="2445"/>
      <c r="L5" s="2445"/>
      <c r="M5" s="2446"/>
      <c r="N5" s="2446"/>
      <c r="O5" s="2446"/>
      <c r="P5" s="2446"/>
      <c r="Q5" s="2446"/>
      <c r="R5" s="2484">
        <f>SUM(R14,R19,R24,R25,R27,R28)</f>
        <v>0</v>
      </c>
      <c r="S5" s="2395"/>
      <c r="T5" s="2395" t="s">
        <v>1487</v>
      </c>
      <c r="U5" s="2395" t="e">
        <f>ROUND(R5*10000/365/R3,1)</f>
        <v>#DIV/0!</v>
      </c>
      <c r="V5" s="2426"/>
    </row>
    <row r="6" s="2319" customFormat="1" customHeight="1" spans="1:22">
      <c r="A6" s="2345" t="s">
        <v>1488</v>
      </c>
      <c r="B6" s="2346"/>
      <c r="C6" s="2347"/>
      <c r="D6" s="2348"/>
      <c r="E6" s="2349"/>
      <c r="F6" s="2350"/>
      <c r="G6" s="2351"/>
      <c r="H6" s="2336"/>
      <c r="I6" s="2426"/>
      <c r="J6" s="2447">
        <v>1</v>
      </c>
      <c r="K6" s="2448" t="s">
        <v>1489</v>
      </c>
      <c r="L6" s="2449" t="s">
        <v>1490</v>
      </c>
      <c r="M6" s="2450" t="s">
        <v>1491</v>
      </c>
      <c r="N6" s="2450" t="s">
        <v>1492</v>
      </c>
      <c r="O6" s="2450" t="s">
        <v>1493</v>
      </c>
      <c r="P6" s="2450" t="s">
        <v>1494</v>
      </c>
      <c r="Q6" s="2450" t="s">
        <v>1495</v>
      </c>
      <c r="R6" s="2486" t="s">
        <v>1496</v>
      </c>
      <c r="S6" s="2395"/>
      <c r="T6" s="2395" t="s">
        <v>1497</v>
      </c>
      <c r="U6" s="2395"/>
      <c r="V6" s="2426"/>
    </row>
    <row r="7" s="2319" customFormat="1" customHeight="1" spans="1:22">
      <c r="A7" s="2352" t="s">
        <v>1498</v>
      </c>
      <c r="B7" s="2353"/>
      <c r="C7" s="2354"/>
      <c r="D7" s="2355">
        <f>SUM(D9,D10,D11,D17,0)</f>
        <v>0</v>
      </c>
      <c r="E7" s="2356" t="e">
        <f>E9+E10+E11+E17</f>
        <v>#DIV/0!</v>
      </c>
      <c r="F7" s="2357"/>
      <c r="G7" s="2358"/>
      <c r="H7" s="2336"/>
      <c r="I7" s="2426"/>
      <c r="J7" s="2447"/>
      <c r="K7" s="2451"/>
      <c r="L7" s="2452" t="s">
        <v>1499</v>
      </c>
      <c r="M7" s="2453"/>
      <c r="N7" s="2341"/>
      <c r="O7" s="2454"/>
      <c r="P7" s="2454"/>
      <c r="Q7" s="2377">
        <v>365</v>
      </c>
      <c r="R7" s="2489">
        <f>ROUND(M7*N7*O7*P7*Q7/10000,0)</f>
        <v>0</v>
      </c>
      <c r="S7" s="2395"/>
      <c r="T7" s="2395" t="s">
        <v>1500</v>
      </c>
      <c r="U7" s="2395"/>
      <c r="V7" s="2426"/>
    </row>
    <row r="8" s="2319" customFormat="1" customHeight="1" spans="1:22">
      <c r="A8" s="2359" t="s">
        <v>1501</v>
      </c>
      <c r="B8" s="2360" t="s">
        <v>1502</v>
      </c>
      <c r="C8" s="2361"/>
      <c r="D8" s="2362" t="s">
        <v>1503</v>
      </c>
      <c r="E8" s="2363" t="s">
        <v>1504</v>
      </c>
      <c r="F8" s="2364" t="s">
        <v>1505</v>
      </c>
      <c r="G8" s="2365"/>
      <c r="H8" s="2336"/>
      <c r="I8" s="2426"/>
      <c r="J8" s="2447"/>
      <c r="K8" s="2451"/>
      <c r="L8" s="2452" t="s">
        <v>1506</v>
      </c>
      <c r="M8" s="2453"/>
      <c r="N8" s="2341"/>
      <c r="O8" s="2454"/>
      <c r="P8" s="2454"/>
      <c r="Q8" s="2377">
        <v>365</v>
      </c>
      <c r="R8" s="2489">
        <f t="shared" ref="R8:R13" si="0">ROUND(M8*N8*O8*P8*Q8/10000,0)</f>
        <v>0</v>
      </c>
      <c r="S8" s="2395"/>
      <c r="T8" s="2395" t="s">
        <v>1507</v>
      </c>
      <c r="U8" s="2395"/>
      <c r="V8" s="2426"/>
    </row>
    <row r="9" s="2319" customFormat="1" customHeight="1" spans="1:22">
      <c r="A9" s="2359">
        <v>1</v>
      </c>
      <c r="B9" s="2360" t="s">
        <v>1508</v>
      </c>
      <c r="C9" s="2361"/>
      <c r="D9" s="2362">
        <f>ROUND(D6*E9,0)</f>
        <v>0</v>
      </c>
      <c r="E9" s="2366"/>
      <c r="F9" s="2367" t="s">
        <v>1509</v>
      </c>
      <c r="G9" s="2351"/>
      <c r="H9" s="2336"/>
      <c r="I9" s="2426"/>
      <c r="J9" s="2447"/>
      <c r="K9" s="2451"/>
      <c r="L9" s="2452" t="s">
        <v>1510</v>
      </c>
      <c r="M9" s="2453"/>
      <c r="N9" s="2341"/>
      <c r="O9" s="2454"/>
      <c r="P9" s="2454"/>
      <c r="Q9" s="2377">
        <v>365</v>
      </c>
      <c r="R9" s="2489">
        <f t="shared" si="0"/>
        <v>0</v>
      </c>
      <c r="S9" s="2395"/>
      <c r="T9" s="2395"/>
      <c r="U9" s="2395"/>
      <c r="V9" s="2426"/>
    </row>
    <row r="10" s="2319" customFormat="1" customHeight="1" spans="1:22">
      <c r="A10" s="2359">
        <v>2</v>
      </c>
      <c r="B10" s="2360" t="s">
        <v>1511</v>
      </c>
      <c r="C10" s="2361"/>
      <c r="D10" s="2362">
        <f>ROUND(D6*E10,0)</f>
        <v>0</v>
      </c>
      <c r="E10" s="2366"/>
      <c r="F10" s="2367" t="s">
        <v>1512</v>
      </c>
      <c r="G10" s="2351"/>
      <c r="H10" s="2336"/>
      <c r="I10" s="2426"/>
      <c r="J10" s="2447"/>
      <c r="K10" s="2451"/>
      <c r="L10" s="2452" t="s">
        <v>1513</v>
      </c>
      <c r="M10" s="2453"/>
      <c r="N10" s="2341"/>
      <c r="O10" s="2454"/>
      <c r="P10" s="2454"/>
      <c r="Q10" s="2377">
        <v>365</v>
      </c>
      <c r="R10" s="2489">
        <f t="shared" si="0"/>
        <v>0</v>
      </c>
      <c r="S10" s="2395"/>
      <c r="T10" s="2395"/>
      <c r="U10" s="2395"/>
      <c r="V10" s="2426"/>
    </row>
    <row r="11" s="2319" customFormat="1" customHeight="1" spans="1:22">
      <c r="A11" s="2359">
        <v>3</v>
      </c>
      <c r="B11" s="2360" t="s">
        <v>1514</v>
      </c>
      <c r="C11" s="2361"/>
      <c r="D11" s="2362">
        <f>D12+D14+D15+D16</f>
        <v>0</v>
      </c>
      <c r="E11" s="2368" t="e">
        <f>D11/D6</f>
        <v>#DIV/0!</v>
      </c>
      <c r="F11" s="2364"/>
      <c r="G11" s="2365"/>
      <c r="H11" s="2336"/>
      <c r="I11" s="2426"/>
      <c r="J11" s="2447"/>
      <c r="K11" s="2451"/>
      <c r="L11" s="2452" t="s">
        <v>1515</v>
      </c>
      <c r="M11" s="2453"/>
      <c r="N11" s="2341"/>
      <c r="O11" s="2454"/>
      <c r="P11" s="2454"/>
      <c r="Q11" s="2377">
        <v>365</v>
      </c>
      <c r="R11" s="2489">
        <f t="shared" si="0"/>
        <v>0</v>
      </c>
      <c r="S11" s="2395"/>
      <c r="T11" s="2395"/>
      <c r="U11" s="2395"/>
      <c r="V11" s="2426"/>
    </row>
    <row r="12" s="2319" customFormat="1" customHeight="1" spans="1:22">
      <c r="A12" s="2369" t="s">
        <v>1516</v>
      </c>
      <c r="B12" s="2370" t="s">
        <v>1517</v>
      </c>
      <c r="C12" s="2371"/>
      <c r="D12" s="2372">
        <f>ROUND(D13*1.2%*(1-30%),0)</f>
        <v>0</v>
      </c>
      <c r="E12" s="2373">
        <v>0.012</v>
      </c>
      <c r="F12" s="2364" t="s">
        <v>1518</v>
      </c>
      <c r="G12" s="2365"/>
      <c r="H12" s="2336"/>
      <c r="I12" s="2426"/>
      <c r="J12" s="2447"/>
      <c r="K12" s="2451"/>
      <c r="L12" s="2452" t="s">
        <v>1519</v>
      </c>
      <c r="M12" s="2453"/>
      <c r="N12" s="2341"/>
      <c r="O12" s="2454"/>
      <c r="P12" s="2454"/>
      <c r="Q12" s="2377">
        <v>365</v>
      </c>
      <c r="R12" s="2489">
        <f t="shared" si="0"/>
        <v>0</v>
      </c>
      <c r="S12" s="2395"/>
      <c r="T12" s="2395"/>
      <c r="U12" s="2395"/>
      <c r="V12" s="2426"/>
    </row>
    <row r="13" s="2319" customFormat="1" customHeight="1" spans="1:22">
      <c r="A13" s="2369"/>
      <c r="B13" s="2370"/>
      <c r="C13" s="2374" t="s">
        <v>1520</v>
      </c>
      <c r="D13" s="2375"/>
      <c r="E13" s="2376"/>
      <c r="F13" s="2364"/>
      <c r="G13" s="2365"/>
      <c r="H13" s="2336"/>
      <c r="I13" s="2426"/>
      <c r="J13" s="2447"/>
      <c r="K13" s="2451"/>
      <c r="L13" s="2452" t="s">
        <v>1521</v>
      </c>
      <c r="M13" s="2453"/>
      <c r="N13" s="2341"/>
      <c r="O13" s="2454"/>
      <c r="P13" s="2454"/>
      <c r="Q13" s="2377">
        <v>365</v>
      </c>
      <c r="R13" s="2489">
        <f t="shared" si="0"/>
        <v>0</v>
      </c>
      <c r="S13" s="2395"/>
      <c r="T13" s="2395"/>
      <c r="U13" s="2395"/>
      <c r="V13" s="2426"/>
    </row>
    <row r="14" s="2319" customFormat="1" customHeight="1" spans="1:22">
      <c r="A14" s="2369" t="s">
        <v>1522</v>
      </c>
      <c r="B14" s="2370" t="s">
        <v>1523</v>
      </c>
      <c r="C14" s="2371"/>
      <c r="D14" s="2372">
        <f>ROUND(E14*B5/10000,0)</f>
        <v>0</v>
      </c>
      <c r="E14" s="2377"/>
      <c r="F14" s="2364" t="s">
        <v>1524</v>
      </c>
      <c r="G14" s="2365"/>
      <c r="H14" s="2336"/>
      <c r="I14" s="2426"/>
      <c r="J14" s="2447"/>
      <c r="K14" s="2455"/>
      <c r="L14" s="2456" t="s">
        <v>1525</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1526</v>
      </c>
      <c r="B15" s="2370" t="s">
        <v>1527</v>
      </c>
      <c r="C15" s="2371"/>
      <c r="D15" s="2372">
        <f>ROUND(D6*E15,0)</f>
        <v>0</v>
      </c>
      <c r="E15" s="2373">
        <v>0.055</v>
      </c>
      <c r="F15" s="2364" t="s">
        <v>1528</v>
      </c>
      <c r="G15" s="2351"/>
      <c r="H15" s="2336"/>
      <c r="I15" s="2426"/>
      <c r="J15" s="2447">
        <v>2</v>
      </c>
      <c r="K15" s="2448" t="s">
        <v>1529</v>
      </c>
      <c r="L15" s="2452" t="s">
        <v>1530</v>
      </c>
      <c r="M15" s="2453" t="s">
        <v>1531</v>
      </c>
      <c r="N15" s="2453" t="s">
        <v>1532</v>
      </c>
      <c r="O15" s="2454" t="s">
        <v>1533</v>
      </c>
      <c r="P15" s="2454" t="s">
        <v>1495</v>
      </c>
      <c r="Q15" s="2341" t="s">
        <v>124</v>
      </c>
      <c r="R15" s="2491" t="s">
        <v>1496</v>
      </c>
      <c r="S15" s="2395"/>
      <c r="T15" s="2395"/>
      <c r="U15" s="2395"/>
      <c r="V15" s="2426"/>
    </row>
    <row r="16" s="2319" customFormat="1" customHeight="1" spans="1:22">
      <c r="A16" s="2369" t="s">
        <v>1534</v>
      </c>
      <c r="B16" s="2370" t="s">
        <v>1535</v>
      </c>
      <c r="C16" s="2371"/>
      <c r="D16" s="2378">
        <f>D6*E16</f>
        <v>0</v>
      </c>
      <c r="E16" s="2379"/>
      <c r="F16" s="2367" t="s">
        <v>1536</v>
      </c>
      <c r="G16" s="2351"/>
      <c r="H16" s="2336"/>
      <c r="I16" s="2426"/>
      <c r="J16" s="2447"/>
      <c r="K16" s="2451"/>
      <c r="L16" s="2452" t="s">
        <v>1537</v>
      </c>
      <c r="M16" s="2453"/>
      <c r="N16" s="2453"/>
      <c r="O16" s="2454"/>
      <c r="P16" s="2377">
        <v>365</v>
      </c>
      <c r="Q16" s="2341"/>
      <c r="R16" s="2491">
        <f>ROUND(M16*N16*O16*P16/10000,0)</f>
        <v>0</v>
      </c>
      <c r="S16" s="2395"/>
      <c r="T16" s="2395"/>
      <c r="U16" s="2395"/>
      <c r="V16" s="2426"/>
    </row>
    <row r="17" s="2319" customFormat="1" customHeight="1" spans="1:22">
      <c r="A17" s="2380">
        <v>4</v>
      </c>
      <c r="B17" s="2381" t="s">
        <v>1538</v>
      </c>
      <c r="C17" s="2382"/>
      <c r="D17" s="2383">
        <f>ROUND(D6*E17,0)</f>
        <v>0</v>
      </c>
      <c r="E17" s="2384"/>
      <c r="F17" s="2385" t="s">
        <v>1539</v>
      </c>
      <c r="G17" s="2351"/>
      <c r="H17" s="2336"/>
      <c r="I17" s="2426"/>
      <c r="J17" s="2447"/>
      <c r="K17" s="2451"/>
      <c r="L17" s="2452" t="s">
        <v>1540</v>
      </c>
      <c r="M17" s="2453"/>
      <c r="N17" s="2453"/>
      <c r="O17" s="2454"/>
      <c r="P17" s="2377">
        <v>365</v>
      </c>
      <c r="Q17" s="2341"/>
      <c r="R17" s="2491">
        <f>ROUND(M17*N17*O17*P17/10000,0)</f>
        <v>0</v>
      </c>
      <c r="S17" s="2395"/>
      <c r="T17" s="2395"/>
      <c r="U17" s="2395"/>
      <c r="V17" s="2426"/>
    </row>
    <row r="18" s="2319" customFormat="1" customHeight="1" spans="1:22">
      <c r="A18" s="2352" t="s">
        <v>1541</v>
      </c>
      <c r="B18" s="2353"/>
      <c r="C18" s="2353"/>
      <c r="D18" s="2386">
        <f>ROUND(D6*E18,0)</f>
        <v>0</v>
      </c>
      <c r="E18" s="2387"/>
      <c r="F18" s="2388" t="s">
        <v>1542</v>
      </c>
      <c r="G18" s="2351"/>
      <c r="H18" s="2336"/>
      <c r="I18" s="2426"/>
      <c r="J18" s="2447"/>
      <c r="K18" s="2451"/>
      <c r="L18" s="2452" t="s">
        <v>1543</v>
      </c>
      <c r="M18" s="2453"/>
      <c r="N18" s="2453"/>
      <c r="O18" s="2454"/>
      <c r="P18" s="2377">
        <v>365</v>
      </c>
      <c r="Q18" s="2341"/>
      <c r="R18" s="2491">
        <f>ROUND(M18*N18*O18*P18/10000,0)</f>
        <v>0</v>
      </c>
      <c r="S18" s="2395"/>
      <c r="T18" s="2395"/>
      <c r="U18" s="2395"/>
      <c r="V18" s="2426"/>
    </row>
    <row r="19" s="2319" customFormat="1" customHeight="1" spans="1:22">
      <c r="A19" s="2389" t="s">
        <v>1544</v>
      </c>
      <c r="B19" s="2349"/>
      <c r="C19" s="2349"/>
      <c r="D19" s="2349"/>
      <c r="E19" s="2349"/>
      <c r="F19" s="2350"/>
      <c r="G19" s="2365"/>
      <c r="H19" s="2336"/>
      <c r="I19" s="2426"/>
      <c r="J19" s="2447"/>
      <c r="K19" s="2455"/>
      <c r="L19" s="2456" t="s">
        <v>1525</v>
      </c>
      <c r="M19" s="2457"/>
      <c r="N19" s="2457">
        <f>SUM(N16:N18)</f>
        <v>0</v>
      </c>
      <c r="O19" s="2458"/>
      <c r="P19" s="2459" t="s">
        <v>1545</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1546</v>
      </c>
      <c r="L20" s="2452" t="s">
        <v>1547</v>
      </c>
      <c r="M20" s="2453" t="s">
        <v>1548</v>
      </c>
      <c r="N20" s="2460" t="s">
        <v>1549</v>
      </c>
      <c r="O20" s="2454" t="s">
        <v>1550</v>
      </c>
      <c r="P20" s="2377" t="s">
        <v>1495</v>
      </c>
      <c r="Q20" s="2341" t="s">
        <v>124</v>
      </c>
      <c r="R20" s="2491" t="s">
        <v>1496</v>
      </c>
      <c r="S20" s="2395"/>
      <c r="T20" s="2395"/>
      <c r="U20" s="2395"/>
      <c r="V20" s="2426"/>
    </row>
    <row r="21" s="2319" customFormat="1" customHeight="1" spans="1:22">
      <c r="A21" s="2352"/>
      <c r="B21" s="2353"/>
      <c r="C21" s="2360" t="s">
        <v>1551</v>
      </c>
      <c r="D21" s="2391" t="s">
        <v>1552</v>
      </c>
      <c r="E21" s="2361" t="s">
        <v>1553</v>
      </c>
      <c r="F21" s="2390"/>
      <c r="G21" s="2365"/>
      <c r="H21" s="2336"/>
      <c r="I21" s="2426"/>
      <c r="J21" s="2447"/>
      <c r="K21" s="2451"/>
      <c r="L21" s="2452" t="s">
        <v>1554</v>
      </c>
      <c r="M21" s="2453"/>
      <c r="N21" s="2453"/>
      <c r="O21" s="2454"/>
      <c r="P21" s="2377">
        <v>365</v>
      </c>
      <c r="Q21" s="2341"/>
      <c r="R21" s="2493">
        <f>ROUND(M21*N21*O21*P21/10000,0)</f>
        <v>0</v>
      </c>
      <c r="S21" s="2395"/>
      <c r="T21" s="2395"/>
      <c r="U21" s="2395"/>
      <c r="V21" s="2426"/>
    </row>
    <row r="22" s="2319" customFormat="1" customHeight="1" spans="1:22">
      <c r="A22" s="2352"/>
      <c r="B22" s="2353"/>
      <c r="C22" s="2392" t="s">
        <v>1555</v>
      </c>
      <c r="D22" s="2393" t="s">
        <v>1556</v>
      </c>
      <c r="E22" s="2394" t="s">
        <v>1557</v>
      </c>
      <c r="F22" s="2390"/>
      <c r="G22" s="2395"/>
      <c r="H22" s="2336"/>
      <c r="I22" s="2426"/>
      <c r="J22" s="2447"/>
      <c r="K22" s="2451"/>
      <c r="L22" s="2452" t="s">
        <v>1558</v>
      </c>
      <c r="M22" s="2453"/>
      <c r="N22" s="2453"/>
      <c r="O22" s="2454"/>
      <c r="P22" s="2377">
        <v>365</v>
      </c>
      <c r="Q22" s="2341"/>
      <c r="R22" s="2493">
        <f>ROUND(M22*N22*O22*P22/10000,0)</f>
        <v>0</v>
      </c>
      <c r="S22" s="2395"/>
      <c r="T22" s="2395"/>
      <c r="U22" s="2395"/>
      <c r="V22" s="2426"/>
    </row>
    <row r="23" s="2319" customFormat="1" customHeight="1" spans="1:22">
      <c r="A23" s="2396">
        <v>1</v>
      </c>
      <c r="B23" s="2397" t="s">
        <v>1559</v>
      </c>
      <c r="C23" s="2398">
        <f>D6</f>
        <v>0</v>
      </c>
      <c r="D23" s="2399">
        <f>C23*(1+D24)</f>
        <v>0</v>
      </c>
      <c r="E23" s="2400">
        <f>D23*(1+E24)</f>
        <v>0</v>
      </c>
      <c r="F23" s="2401"/>
      <c r="G23" s="2402"/>
      <c r="H23" s="2336"/>
      <c r="I23" s="2426"/>
      <c r="J23" s="2447"/>
      <c r="K23" s="2451"/>
      <c r="L23" s="2452" t="s">
        <v>1560</v>
      </c>
      <c r="M23" s="2453"/>
      <c r="N23" s="2453"/>
      <c r="O23" s="2454"/>
      <c r="P23" s="2377">
        <v>365</v>
      </c>
      <c r="Q23" s="2341"/>
      <c r="R23" s="2493">
        <f>ROUND(M23*N23*O23*P23/10000,0)</f>
        <v>0</v>
      </c>
      <c r="S23" s="2395"/>
      <c r="T23" s="2395"/>
      <c r="U23" s="2395"/>
      <c r="V23" s="2426"/>
    </row>
    <row r="24" s="2319" customFormat="1" customHeight="1" spans="1:22">
      <c r="A24" s="2403"/>
      <c r="B24" s="2404" t="s">
        <v>1561</v>
      </c>
      <c r="C24" s="2405"/>
      <c r="D24" s="2406"/>
      <c r="E24" s="2407"/>
      <c r="F24" s="2408"/>
      <c r="G24" s="2402"/>
      <c r="H24" s="2336"/>
      <c r="I24" s="2426"/>
      <c r="J24" s="2447"/>
      <c r="K24" s="2455"/>
      <c r="L24" s="2456" t="s">
        <v>1525</v>
      </c>
      <c r="M24" s="2457">
        <f>SUM(M21:M23)</f>
        <v>0</v>
      </c>
      <c r="N24" s="2457"/>
      <c r="O24" s="2458"/>
      <c r="P24" s="2459" t="s">
        <v>1545</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1562</v>
      </c>
      <c r="L25" s="2462"/>
      <c r="M25" s="2462"/>
      <c r="N25" s="2462"/>
      <c r="O25" s="2462"/>
      <c r="P25" s="2463"/>
      <c r="Q25" s="2494">
        <v>0</v>
      </c>
      <c r="R25" s="2492">
        <f>ROUND(R14*Q25,0)</f>
        <v>0</v>
      </c>
      <c r="S25" s="2395"/>
      <c r="T25" s="2395"/>
      <c r="U25" s="2395"/>
      <c r="V25" s="2470"/>
    </row>
    <row r="26" s="2320" customFormat="1" customHeight="1" spans="1:22">
      <c r="A26" s="2396">
        <v>2</v>
      </c>
      <c r="B26" s="2397" t="s">
        <v>1563</v>
      </c>
      <c r="C26" s="2398">
        <f>D7</f>
        <v>0</v>
      </c>
      <c r="D26" s="2399">
        <f>D23*D27</f>
        <v>0</v>
      </c>
      <c r="E26" s="2400">
        <f>E23*E27</f>
        <v>0</v>
      </c>
      <c r="F26" s="2401"/>
      <c r="G26" s="2402"/>
      <c r="H26" s="2336"/>
      <c r="I26" s="2426"/>
      <c r="J26" s="2464">
        <v>5</v>
      </c>
      <c r="K26" s="2465" t="s">
        <v>1564</v>
      </c>
      <c r="L26" s="2466"/>
      <c r="M26" s="2467"/>
      <c r="N26" s="2468" t="s">
        <v>481</v>
      </c>
      <c r="O26" s="2468" t="s">
        <v>1565</v>
      </c>
      <c r="P26" s="2469" t="s">
        <v>1566</v>
      </c>
      <c r="Q26" s="2469" t="s">
        <v>1567</v>
      </c>
      <c r="R26" s="2486" t="s">
        <v>1496</v>
      </c>
      <c r="S26" s="2365"/>
      <c r="T26" s="2365"/>
      <c r="U26" s="2365"/>
      <c r="V26" s="2470"/>
    </row>
    <row r="27" s="2319" customFormat="1" customHeight="1" spans="1:22">
      <c r="A27" s="2403"/>
      <c r="B27" s="2404" t="s">
        <v>1568</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1569</v>
      </c>
      <c r="F28" s="2408"/>
      <c r="G28" s="2395"/>
      <c r="H28" s="2410"/>
      <c r="I28" s="2470"/>
      <c r="J28" s="2476">
        <v>6</v>
      </c>
      <c r="K28" s="2477" t="s">
        <v>1570</v>
      </c>
      <c r="L28" s="2478" t="s">
        <v>1571</v>
      </c>
      <c r="M28" s="2479"/>
      <c r="N28" s="2478" t="s">
        <v>1572</v>
      </c>
      <c r="O28" s="2480"/>
      <c r="P28" s="2478" t="s">
        <v>1573</v>
      </c>
      <c r="Q28" s="2496">
        <v>0.015</v>
      </c>
      <c r="R28" s="2497"/>
      <c r="S28" s="2395"/>
      <c r="T28" s="2395"/>
      <c r="U28" s="2395"/>
      <c r="V28" s="2470"/>
    </row>
    <row r="29" s="2320" customFormat="1" customHeight="1" spans="1:22">
      <c r="A29" s="2396">
        <v>3</v>
      </c>
      <c r="B29" s="2397" t="s">
        <v>1574</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1568</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1575</v>
      </c>
      <c r="K31" s="2436"/>
      <c r="L31" s="2436"/>
      <c r="M31" s="2436"/>
      <c r="N31" s="2436"/>
      <c r="O31" s="2436"/>
      <c r="P31" s="2436"/>
      <c r="Q31" s="2436"/>
      <c r="R31" s="2482"/>
      <c r="S31" s="2395"/>
      <c r="T31" s="2395"/>
      <c r="U31" s="2395"/>
      <c r="V31" s="2470"/>
    </row>
    <row r="32" s="2320" customFormat="1" customHeight="1" spans="1:22">
      <c r="A32" s="2396">
        <v>4</v>
      </c>
      <c r="B32" s="2397" t="s">
        <v>1576</v>
      </c>
      <c r="C32" s="2398">
        <f>C23-C26-C29</f>
        <v>0</v>
      </c>
      <c r="D32" s="2399">
        <f>D23-D26-D29</f>
        <v>0</v>
      </c>
      <c r="E32" s="2400">
        <f>E23-E26-E29</f>
        <v>0</v>
      </c>
      <c r="F32" s="2401"/>
      <c r="G32" s="2395"/>
      <c r="H32" s="2336"/>
      <c r="I32" s="2426"/>
      <c r="J32" s="2437" t="s">
        <v>1474</v>
      </c>
      <c r="K32" s="2438"/>
      <c r="L32" s="2439" t="s">
        <v>1475</v>
      </c>
      <c r="M32" s="2439" t="s">
        <v>1476</v>
      </c>
      <c r="N32" s="2439" t="s">
        <v>1477</v>
      </c>
      <c r="O32" s="2439" t="s">
        <v>1478</v>
      </c>
      <c r="P32" s="2439" t="s">
        <v>1479</v>
      </c>
      <c r="Q32" s="2483" t="s">
        <v>1480</v>
      </c>
      <c r="R32" s="2498" t="s">
        <v>1481</v>
      </c>
      <c r="S32" s="2395"/>
      <c r="T32" s="2395"/>
      <c r="U32" s="2395"/>
      <c r="V32" s="2470"/>
    </row>
    <row r="33" s="2319" customFormat="1" customHeight="1" spans="1:22">
      <c r="A33" s="2396"/>
      <c r="B33" s="2397"/>
      <c r="C33" s="2398"/>
      <c r="D33" s="2413"/>
      <c r="E33" s="2371"/>
      <c r="F33" s="2401"/>
      <c r="G33" s="2395"/>
      <c r="H33" s="2410"/>
      <c r="I33" s="2470"/>
      <c r="J33" s="2440" t="s">
        <v>1482</v>
      </c>
      <c r="K33" s="2441"/>
      <c r="L33" s="2442"/>
      <c r="M33" s="2442"/>
      <c r="N33" s="2442"/>
      <c r="O33" s="2442"/>
      <c r="P33" s="2442"/>
      <c r="Q33" s="2485"/>
      <c r="R33" s="2499">
        <f>SUM(L33:Q33)</f>
        <v>0</v>
      </c>
      <c r="S33" s="2395"/>
      <c r="T33" s="2395"/>
      <c r="U33" s="2395"/>
      <c r="V33" s="2426"/>
    </row>
    <row r="34" s="2319" customFormat="1" customHeight="1" spans="1:22">
      <c r="A34" s="2396">
        <v>5</v>
      </c>
      <c r="B34" s="2397" t="s">
        <v>1577</v>
      </c>
      <c r="C34" s="2414"/>
      <c r="D34" s="2415"/>
      <c r="E34" s="2416"/>
      <c r="F34" s="2401"/>
      <c r="G34" s="2395"/>
      <c r="H34" s="2410"/>
      <c r="I34" s="2470"/>
      <c r="J34" s="2440" t="s">
        <v>1484</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1578</v>
      </c>
      <c r="C35" s="2417"/>
      <c r="D35" s="2418"/>
      <c r="E35" s="2419"/>
      <c r="F35" s="2401"/>
      <c r="G35" s="2420"/>
      <c r="H35" s="2336"/>
      <c r="I35" s="2470"/>
      <c r="J35" s="2444" t="s">
        <v>1486</v>
      </c>
      <c r="K35" s="2445"/>
      <c r="L35" s="2445"/>
      <c r="M35" s="2446"/>
      <c r="N35" s="2446"/>
      <c r="O35" s="2446"/>
      <c r="P35" s="2446"/>
      <c r="Q35" s="2446"/>
      <c r="R35" s="2501">
        <f>R40+R41+R43</f>
        <v>0</v>
      </c>
      <c r="S35" s="2395"/>
      <c r="T35" s="2395" t="s">
        <v>1487</v>
      </c>
      <c r="U35" s="2395"/>
      <c r="V35" s="2426"/>
    </row>
    <row r="36" s="2319" customFormat="1" customHeight="1" spans="1:22">
      <c r="A36" s="2396">
        <v>7</v>
      </c>
      <c r="B36" s="2421" t="s">
        <v>1579</v>
      </c>
      <c r="C36" s="2422"/>
      <c r="D36" s="2423"/>
      <c r="E36" s="2424"/>
      <c r="F36" s="2425">
        <f>C36+D36+E36</f>
        <v>0</v>
      </c>
      <c r="G36" s="2395"/>
      <c r="H36" s="2336"/>
      <c r="I36" s="2426"/>
      <c r="J36" s="2447">
        <v>1</v>
      </c>
      <c r="K36" s="2448" t="s">
        <v>1580</v>
      </c>
      <c r="L36" s="2449"/>
      <c r="M36" s="2450"/>
      <c r="N36" s="2450"/>
      <c r="O36" s="2450"/>
      <c r="P36" s="2450"/>
      <c r="Q36" s="2450"/>
      <c r="R36" s="2486" t="s">
        <v>1496</v>
      </c>
      <c r="S36" s="2395"/>
      <c r="T36" s="2395" t="s">
        <v>1497</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1500</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1507</v>
      </c>
      <c r="U38" s="2395"/>
      <c r="V38" s="2426"/>
    </row>
    <row r="39" s="2319" customFormat="1" customHeight="1" spans="1:22">
      <c r="A39" s="2396">
        <v>9</v>
      </c>
      <c r="B39" s="2397" t="s">
        <v>1581</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1582</v>
      </c>
      <c r="C40" s="2428" t="e">
        <f>C39+D39+E39</f>
        <v>#DIV/0!</v>
      </c>
      <c r="D40" s="2429"/>
      <c r="E40" s="2429"/>
      <c r="F40" s="2430"/>
      <c r="G40" s="2395"/>
      <c r="H40" s="2336"/>
      <c r="I40" s="2426"/>
      <c r="J40" s="2447"/>
      <c r="K40" s="2455"/>
      <c r="L40" s="2456" t="s">
        <v>1525</v>
      </c>
      <c r="M40" s="2457"/>
      <c r="N40" s="2457"/>
      <c r="O40" s="2458"/>
      <c r="P40" s="2458"/>
      <c r="Q40" s="2490"/>
      <c r="R40" s="2484">
        <f>SUM(R37:R39)</f>
        <v>0</v>
      </c>
      <c r="S40" s="2395"/>
      <c r="T40" s="2395"/>
      <c r="U40" s="2395"/>
      <c r="V40" s="2426"/>
    </row>
    <row r="41" s="2319" customFormat="1" customHeight="1" spans="1:22">
      <c r="A41" s="2431">
        <v>11</v>
      </c>
      <c r="B41" s="2432" t="s">
        <v>1583</v>
      </c>
      <c r="C41" s="2432" t="e">
        <f>ROUND(C40*10000/B4,0)</f>
        <v>#DIV/0!</v>
      </c>
      <c r="D41" s="2433"/>
      <c r="E41" s="2433"/>
      <c r="F41" s="2434"/>
      <c r="G41" s="2336"/>
      <c r="H41" s="2336"/>
      <c r="I41" s="2426"/>
      <c r="J41" s="2447">
        <v>2</v>
      </c>
      <c r="K41" s="2461" t="s">
        <v>1562</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1564</v>
      </c>
      <c r="L42" s="2466"/>
      <c r="M42" s="2467"/>
      <c r="N42" s="2468" t="s">
        <v>481</v>
      </c>
      <c r="O42" s="2468" t="s">
        <v>1565</v>
      </c>
      <c r="P42" s="2469" t="s">
        <v>1566</v>
      </c>
      <c r="Q42" s="2469" t="s">
        <v>1567</v>
      </c>
      <c r="R42" s="2486" t="s">
        <v>1496</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1570</v>
      </c>
      <c r="L44" s="2481" t="s">
        <v>1571</v>
      </c>
      <c r="M44" s="2479"/>
      <c r="N44" s="2481" t="s">
        <v>1572</v>
      </c>
      <c r="O44" s="2479"/>
      <c r="P44" s="2481" t="s">
        <v>1573</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1584</v>
      </c>
      <c r="B1" s="1364"/>
      <c r="C1" s="1364"/>
      <c r="D1" s="1364"/>
      <c r="E1" s="2300"/>
      <c r="F1" s="2301"/>
      <c r="G1" s="1059"/>
      <c r="H1" s="1059"/>
      <c r="I1" s="1059"/>
      <c r="J1" s="1059"/>
      <c r="K1" s="1059"/>
      <c r="L1" s="1059"/>
      <c r="M1" s="1059"/>
      <c r="N1" s="1059"/>
      <c r="O1" s="1059"/>
      <c r="P1" s="1059"/>
      <c r="Q1" s="1059"/>
      <c r="R1" s="1059"/>
      <c r="S1" s="1059"/>
    </row>
    <row r="2" ht="15" spans="1:19">
      <c r="A2" s="2302" t="s">
        <v>1008</v>
      </c>
      <c r="B2" s="1391">
        <f ca="1">SUMIF(B6:B13,"&lt;&gt;#ref!",B6:B13)</f>
        <v>621.9797</v>
      </c>
      <c r="C2" s="2303" t="s">
        <v>1585</v>
      </c>
      <c r="D2" s="2304" t="s">
        <v>1586</v>
      </c>
      <c r="E2" s="2305">
        <f>SUM(E6:E13)</f>
        <v>1144.97</v>
      </c>
      <c r="F2" s="2301"/>
      <c r="G2" s="1059"/>
      <c r="H2" s="1059"/>
      <c r="I2" s="1059"/>
      <c r="J2" s="1059"/>
      <c r="K2" s="1059"/>
      <c r="L2" s="1059"/>
      <c r="M2" s="1059"/>
      <c r="N2" s="1059"/>
      <c r="O2" s="1059"/>
      <c r="P2" s="1059"/>
      <c r="Q2" s="1059"/>
      <c r="R2" s="1059"/>
      <c r="S2" s="1059"/>
    </row>
    <row r="3" ht="15" spans="1:19">
      <c r="A3" s="2302" t="s">
        <v>1010</v>
      </c>
      <c r="B3" s="2306">
        <f ca="1">ROUND(B2*10000/E2,0)</f>
        <v>5432</v>
      </c>
      <c r="C3" s="2303" t="s">
        <v>1587</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1588</v>
      </c>
      <c r="B5" s="2310" t="s">
        <v>1589</v>
      </c>
      <c r="C5" s="2311"/>
      <c r="D5" s="2312"/>
      <c r="E5" s="2310" t="s">
        <v>1590</v>
      </c>
      <c r="F5" s="767" t="s">
        <v>1591</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621.9797</v>
      </c>
      <c r="C6" s="2303" t="s">
        <v>1585</v>
      </c>
      <c r="D6" s="2301"/>
      <c r="E6" s="2314">
        <f>IF(OR(A6=0,F6="否"),0,'数据-取费表'!K6+'数据-取费表'!S6)</f>
        <v>1144.97</v>
      </c>
      <c r="F6" s="2315" t="s">
        <v>1592</v>
      </c>
      <c r="G6" s="1059"/>
      <c r="H6" s="1059"/>
      <c r="I6" s="1059"/>
      <c r="J6" s="1059"/>
      <c r="K6" s="1059"/>
      <c r="L6" s="1059"/>
      <c r="M6" s="1059"/>
      <c r="N6" s="1059"/>
      <c r="O6" s="1059"/>
      <c r="P6" s="1059"/>
      <c r="Q6" s="1059"/>
      <c r="R6" s="1059"/>
      <c r="S6" s="1059"/>
    </row>
    <row r="7" spans="1:19">
      <c r="A7" s="2313">
        <f>'数据-取费表'!AN7</f>
        <v>0</v>
      </c>
      <c r="B7" s="1560" t="e">
        <f ca="1">IF(F7="是",'数据-取费表'!AO7,0)</f>
        <v>#REF!</v>
      </c>
      <c r="C7" s="2303" t="s">
        <v>1585</v>
      </c>
      <c r="D7" s="2301"/>
      <c r="E7" s="2314">
        <f>IF(OR(A7=0,F7="否"),0,'数据-取费表'!K7+'数据-取费表'!S7)</f>
        <v>0</v>
      </c>
      <c r="F7" s="2315" t="s">
        <v>1592</v>
      </c>
      <c r="G7" s="1059"/>
      <c r="H7" s="1059"/>
      <c r="I7" s="1059"/>
      <c r="J7" s="1059"/>
      <c r="K7" s="1059"/>
      <c r="L7" s="1059"/>
      <c r="M7" s="1059"/>
      <c r="N7" s="1059"/>
      <c r="O7" s="1059"/>
      <c r="P7" s="1059"/>
      <c r="Q7" s="1059"/>
      <c r="R7" s="1059"/>
      <c r="S7" s="1059"/>
    </row>
    <row r="8" spans="1:19">
      <c r="A8" s="2313">
        <f>'数据-取费表'!AN8</f>
        <v>0</v>
      </c>
      <c r="B8" s="1560" t="e">
        <f ca="1">IF(F8="是",'数据-取费表'!AO8,0)</f>
        <v>#REF!</v>
      </c>
      <c r="C8" s="2303" t="s">
        <v>1585</v>
      </c>
      <c r="D8" s="2301"/>
      <c r="E8" s="2314">
        <f>IF(OR(A8=0,F8="否"),0,'数据-取费表'!K8+'数据-取费表'!S8)</f>
        <v>0</v>
      </c>
      <c r="F8" s="2315" t="s">
        <v>1592</v>
      </c>
      <c r="G8" s="1059"/>
      <c r="H8" s="1059"/>
      <c r="I8" s="1059"/>
      <c r="J8" s="1059"/>
      <c r="K8" s="1059"/>
      <c r="L8" s="1059"/>
      <c r="M8" s="1059"/>
      <c r="N8" s="1059"/>
      <c r="O8" s="1059"/>
      <c r="P8" s="1059"/>
      <c r="Q8" s="1059"/>
      <c r="R8" s="1059"/>
      <c r="S8" s="1059"/>
    </row>
    <row r="9" spans="1:19">
      <c r="A9" s="2313">
        <f>'数据-取费表'!AN9</f>
        <v>0</v>
      </c>
      <c r="B9" s="1560" t="e">
        <f ca="1">IF(F9="是",'数据-取费表'!AO9,0)</f>
        <v>#REF!</v>
      </c>
      <c r="C9" s="2303" t="s">
        <v>1585</v>
      </c>
      <c r="D9" s="2301"/>
      <c r="E9" s="2314">
        <f>IF(OR(A9=0,F9="否"),0,'数据-取费表'!K9+'数据-取费表'!S9)</f>
        <v>0</v>
      </c>
      <c r="F9" s="2315" t="s">
        <v>1592</v>
      </c>
      <c r="G9" s="1059"/>
      <c r="H9" s="1059"/>
      <c r="I9" s="1059"/>
      <c r="J9" s="1059"/>
      <c r="K9" s="1059"/>
      <c r="L9" s="1059"/>
      <c r="M9" s="1059"/>
      <c r="N9" s="1059"/>
      <c r="O9" s="1059"/>
      <c r="P9" s="1059"/>
      <c r="Q9" s="1059"/>
      <c r="R9" s="1059"/>
      <c r="S9" s="1059"/>
    </row>
    <row r="10" spans="1:19">
      <c r="A10" s="2313">
        <f>'数据-取费表'!AN10</f>
        <v>0</v>
      </c>
      <c r="B10" s="1560" t="e">
        <f ca="1">IF(F10="是",'数据-取费表'!AO10,0)</f>
        <v>#REF!</v>
      </c>
      <c r="C10" s="2303" t="s">
        <v>1585</v>
      </c>
      <c r="D10" s="2301"/>
      <c r="E10" s="2314">
        <f>IF(OR(A10=0,F10="否"),0,'数据-取费表'!K10+'数据-取费表'!S10)</f>
        <v>0</v>
      </c>
      <c r="F10" s="2315" t="s">
        <v>1592</v>
      </c>
      <c r="G10" s="1059"/>
      <c r="H10" s="1059"/>
      <c r="I10" s="1059"/>
      <c r="J10" s="1059"/>
      <c r="K10" s="1059"/>
      <c r="L10" s="1059"/>
      <c r="M10" s="1059"/>
      <c r="N10" s="1059"/>
      <c r="O10" s="1059"/>
      <c r="P10" s="1059"/>
      <c r="Q10" s="1059"/>
      <c r="R10" s="1059"/>
      <c r="S10" s="1059"/>
    </row>
    <row r="11" spans="1:19">
      <c r="A11" s="2313">
        <f>'数据-取费表'!AN11</f>
        <v>0</v>
      </c>
      <c r="B11" s="1560" t="e">
        <f ca="1">IF(F11="是",'数据-取费表'!AO11,0)</f>
        <v>#REF!</v>
      </c>
      <c r="C11" s="2303" t="s">
        <v>1585</v>
      </c>
      <c r="D11" s="2301"/>
      <c r="E11" s="2314">
        <f>IF(OR(A11=0,F11="否"),0,'数据-取费表'!K11+'数据-取费表'!S11)</f>
        <v>0</v>
      </c>
      <c r="F11" s="2315" t="s">
        <v>1592</v>
      </c>
      <c r="G11" s="1059"/>
      <c r="H11" s="1059"/>
      <c r="I11" s="1059"/>
      <c r="J11" s="1059"/>
      <c r="K11" s="1059"/>
      <c r="L11" s="1059"/>
      <c r="M11" s="1059"/>
      <c r="N11" s="1059"/>
      <c r="O11" s="1059"/>
      <c r="P11" s="1059"/>
      <c r="Q11" s="1059"/>
      <c r="R11" s="1059"/>
      <c r="S11" s="1059"/>
    </row>
    <row r="12" spans="1:19">
      <c r="A12" s="2313">
        <f>'数据-取费表'!AN12</f>
        <v>0</v>
      </c>
      <c r="B12" s="1560" t="e">
        <f ca="1">IF(F12="是",'数据-取费表'!AO12,0)</f>
        <v>#REF!</v>
      </c>
      <c r="C12" s="2303" t="s">
        <v>1585</v>
      </c>
      <c r="D12" s="2301"/>
      <c r="E12" s="2314">
        <f>IF(OR(A12=0,F12="否"),0,'数据-取费表'!K12+'数据-取费表'!S12)</f>
        <v>0</v>
      </c>
      <c r="F12" s="2315" t="s">
        <v>1592</v>
      </c>
      <c r="G12" s="1059"/>
      <c r="H12" s="1059"/>
      <c r="I12" s="1059"/>
      <c r="J12" s="1059"/>
      <c r="K12" s="1059"/>
      <c r="L12" s="1059"/>
      <c r="M12" s="1059"/>
      <c r="N12" s="1059"/>
      <c r="O12" s="1059"/>
      <c r="P12" s="1059"/>
      <c r="Q12" s="1059"/>
      <c r="R12" s="1059"/>
      <c r="S12" s="1059"/>
    </row>
    <row r="13" ht="14.75" spans="1:19">
      <c r="A13" s="2316">
        <f>'数据-取费表'!AN13</f>
        <v>0</v>
      </c>
      <c r="B13" s="1560" t="e">
        <f ca="1">IF(F13="是",'数据-取费表'!AO13,0)</f>
        <v>#REF!</v>
      </c>
      <c r="C13" s="2317" t="s">
        <v>1585</v>
      </c>
      <c r="D13" s="2318"/>
      <c r="E13" s="2314">
        <f>IF(OR(A13=0,F13="否"),0,'数据-取费表'!K13+'数据-取费表'!S13)</f>
        <v>0</v>
      </c>
      <c r="F13" s="2315" t="s">
        <v>1592</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213" t="s">
        <v>1593</v>
      </c>
      <c r="C1" s="2102" t="s">
        <v>1168</v>
      </c>
      <c r="D1" s="2061"/>
      <c r="E1" s="2214"/>
      <c r="F1" s="2063"/>
      <c r="G1" s="2064" t="s">
        <v>1171</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1008</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1009</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1010</v>
      </c>
      <c r="B3" s="2072">
        <f ca="1">IF(C2="——",C49,ROUND(B2*10000/D3,0))</f>
        <v>0</v>
      </c>
      <c r="C3" s="2071" t="s">
        <v>1172</v>
      </c>
      <c r="D3" s="2072">
        <f>IF(D1="",'数据-汇总表'!E3,SUMIF('数据-汇总表'!$C19:$C33,D1,'数据-汇总表'!$E19:$E33))</f>
        <v>1144.97</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1173</v>
      </c>
      <c r="B4" s="1691"/>
      <c r="C4" s="1692" t="s">
        <v>1174</v>
      </c>
      <c r="D4" s="1693"/>
      <c r="E4" s="1694" t="s">
        <v>1175</v>
      </c>
      <c r="F4" s="1695"/>
      <c r="G4" s="1692" t="s">
        <v>1176</v>
      </c>
      <c r="H4" s="1693"/>
      <c r="I4" s="1692" t="s">
        <v>1177</v>
      </c>
      <c r="J4" s="1693"/>
      <c r="K4" s="2233"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921" t="s">
        <v>1176</v>
      </c>
      <c r="AC4" s="1921" t="s">
        <v>1177</v>
      </c>
    </row>
    <row r="5" spans="1:29">
      <c r="A5" s="1696"/>
      <c r="B5" s="1697"/>
      <c r="C5" s="1698" t="s">
        <v>1180</v>
      </c>
      <c r="D5" s="1699"/>
      <c r="E5" s="1700" t="s">
        <v>1181</v>
      </c>
      <c r="F5" s="1701"/>
      <c r="G5" s="1698" t="s">
        <v>1182</v>
      </c>
      <c r="H5" s="1699"/>
      <c r="I5" s="1698" t="s">
        <v>1183</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2234"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19" si="3">D8/F8</f>
        <v>1</v>
      </c>
      <c r="AB8" s="1923">
        <f t="shared" ref="AB8:AB19" si="4">D8/H8</f>
        <v>1</v>
      </c>
      <c r="AC8" s="1923">
        <f t="shared" ref="AC8:AC19" si="5">D8/J8</f>
        <v>1</v>
      </c>
    </row>
    <row r="9" s="1671" customFormat="1" spans="1:29">
      <c r="A9" s="1716" t="s">
        <v>1191</v>
      </c>
      <c r="B9" s="1717" t="s">
        <v>1192</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98" spans="1:29">
      <c r="A15" s="1737" t="s">
        <v>1197</v>
      </c>
      <c r="B15" s="2031" t="s">
        <v>1232</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1199</v>
      </c>
      <c r="Q15" s="1304" t="str">
        <f t="shared" si="6"/>
        <v>居住社区成熟度</v>
      </c>
      <c r="R15" s="1911" t="s">
        <v>1188</v>
      </c>
      <c r="S15" s="1912">
        <f t="shared" si="0"/>
        <v>100</v>
      </c>
      <c r="T15" s="1911" t="s">
        <v>1188</v>
      </c>
      <c r="U15" s="1912">
        <f t="shared" si="1"/>
        <v>100</v>
      </c>
      <c r="V15" s="1911" t="s">
        <v>1188</v>
      </c>
      <c r="W15" s="1912">
        <f t="shared" si="2"/>
        <v>100</v>
      </c>
      <c r="X15" s="1899"/>
      <c r="Y15" s="1864" t="s">
        <v>1199</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1200</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1202</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1203</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1188</v>
      </c>
      <c r="S23" s="1912">
        <f>F23</f>
        <v>100</v>
      </c>
      <c r="T23" s="1911" t="s">
        <v>1188</v>
      </c>
      <c r="U23" s="1912">
        <f>H23</f>
        <v>100</v>
      </c>
      <c r="V23" s="1911" t="s">
        <v>1188</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1594</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1188</v>
      </c>
      <c r="S25" s="1912">
        <f t="shared" ref="S25:S46" si="12">F25</f>
        <v>100</v>
      </c>
      <c r="T25" s="1911" t="s">
        <v>1188</v>
      </c>
      <c r="U25" s="1912">
        <f t="shared" ref="U25:U46" si="13">H25</f>
        <v>100</v>
      </c>
      <c r="V25" s="1911" t="s">
        <v>1188</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1251</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1188</v>
      </c>
      <c r="S26" s="1912">
        <f t="shared" si="12"/>
        <v>100</v>
      </c>
      <c r="T26" s="1911" t="s">
        <v>1188</v>
      </c>
      <c r="U26" s="1912">
        <f t="shared" si="13"/>
        <v>100</v>
      </c>
      <c r="V26" s="1911" t="s">
        <v>1188</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1188</v>
      </c>
      <c r="S27" s="1908">
        <f t="shared" si="12"/>
        <v>100</v>
      </c>
      <c r="T27" s="1907" t="s">
        <v>1188</v>
      </c>
      <c r="U27" s="1908">
        <f t="shared" si="13"/>
        <v>100</v>
      </c>
      <c r="V27" s="1907" t="s">
        <v>1188</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1188</v>
      </c>
      <c r="S28" s="1912">
        <f t="shared" si="12"/>
        <v>100</v>
      </c>
      <c r="T28" s="1911" t="s">
        <v>1188</v>
      </c>
      <c r="U28" s="1912">
        <f t="shared" si="13"/>
        <v>100</v>
      </c>
      <c r="V28" s="1911" t="s">
        <v>1188</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1188</v>
      </c>
      <c r="S29" s="1912">
        <f t="shared" si="12"/>
        <v>100</v>
      </c>
      <c r="T29" s="1911" t="s">
        <v>1188</v>
      </c>
      <c r="U29" s="1912">
        <f t="shared" si="13"/>
        <v>100</v>
      </c>
      <c r="V29" s="1911" t="s">
        <v>1188</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8"/>
        <v>111</v>
      </c>
      <c r="AA31" s="1886">
        <f t="shared" si="15"/>
        <v>1</v>
      </c>
      <c r="AB31" s="1886">
        <f t="shared" si="16"/>
        <v>1</v>
      </c>
      <c r="AC31" s="1886">
        <f t="shared" si="17"/>
        <v>1</v>
      </c>
    </row>
    <row r="32" ht="15.5" spans="1:29">
      <c r="A32" s="1737" t="s">
        <v>1208</v>
      </c>
      <c r="B32" s="1717" t="s">
        <v>1255</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1210</v>
      </c>
      <c r="Q32" s="1304" t="str">
        <f t="shared" si="11"/>
        <v>建筑类型</v>
      </c>
      <c r="R32" s="1911" t="s">
        <v>1188</v>
      </c>
      <c r="S32" s="1912">
        <f t="shared" si="12"/>
        <v>100</v>
      </c>
      <c r="T32" s="1911" t="s">
        <v>1188</v>
      </c>
      <c r="U32" s="1912">
        <f t="shared" si="13"/>
        <v>100</v>
      </c>
      <c r="V32" s="1911" t="s">
        <v>1188</v>
      </c>
      <c r="W32" s="1912">
        <f t="shared" si="14"/>
        <v>100</v>
      </c>
      <c r="X32" s="1899"/>
      <c r="Y32" s="1874" t="s">
        <v>1210</v>
      </c>
      <c r="Z32" s="1886" t="str">
        <f t="shared" si="18"/>
        <v>建筑类型</v>
      </c>
      <c r="AA32" s="1886">
        <f t="shared" si="15"/>
        <v>1</v>
      </c>
      <c r="AB32" s="1886">
        <f t="shared" si="16"/>
        <v>1</v>
      </c>
      <c r="AC32" s="1886">
        <f t="shared" si="17"/>
        <v>1</v>
      </c>
    </row>
    <row r="33" s="1673" customFormat="1" ht="15.5" spans="1:29">
      <c r="A33" s="1777"/>
      <c r="B33" s="1721" t="s">
        <v>1211</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1188</v>
      </c>
      <c r="S33" s="1914" t="e">
        <f t="shared" si="12"/>
        <v>#N/A</v>
      </c>
      <c r="T33" s="1913" t="s">
        <v>1188</v>
      </c>
      <c r="U33" s="1914" t="e">
        <f t="shared" si="13"/>
        <v>#N/A</v>
      </c>
      <c r="V33" s="1913" t="s">
        <v>1188</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1212</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1188</v>
      </c>
      <c r="S34" s="1912">
        <f t="shared" si="12"/>
        <v>100</v>
      </c>
      <c r="T34" s="1911" t="s">
        <v>1188</v>
      </c>
      <c r="U34" s="1912">
        <f t="shared" si="13"/>
        <v>100</v>
      </c>
      <c r="V34" s="1911" t="s">
        <v>1188</v>
      </c>
      <c r="W34" s="1912">
        <f t="shared" si="14"/>
        <v>100</v>
      </c>
      <c r="X34" s="1899"/>
      <c r="Y34" s="1874"/>
      <c r="Z34" s="1886" t="str">
        <f t="shared" si="18"/>
        <v>建筑结构</v>
      </c>
      <c r="AA34" s="1886">
        <f t="shared" si="15"/>
        <v>1</v>
      </c>
      <c r="AB34" s="1886">
        <f t="shared" si="16"/>
        <v>1</v>
      </c>
      <c r="AC34" s="1886">
        <f t="shared" si="17"/>
        <v>1</v>
      </c>
    </row>
    <row r="35" ht="15.5" spans="1:29">
      <c r="A35" s="1772"/>
      <c r="B35" s="1721" t="s">
        <v>1595</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1188</v>
      </c>
      <c r="S35" s="1912">
        <f t="shared" si="12"/>
        <v>100</v>
      </c>
      <c r="T35" s="1911" t="s">
        <v>1188</v>
      </c>
      <c r="U35" s="1912">
        <f t="shared" si="13"/>
        <v>100</v>
      </c>
      <c r="V35" s="1911" t="s">
        <v>1188</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1213</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1188</v>
      </c>
      <c r="S36" s="1912">
        <f t="shared" si="12"/>
        <v>100</v>
      </c>
      <c r="T36" s="1911" t="s">
        <v>1188</v>
      </c>
      <c r="U36" s="1912">
        <f t="shared" si="13"/>
        <v>100</v>
      </c>
      <c r="V36" s="1911" t="s">
        <v>1188</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660</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1188</v>
      </c>
      <c r="S37" s="1908" t="e">
        <f t="shared" si="12"/>
        <v>#N/A</v>
      </c>
      <c r="T37" s="1907" t="s">
        <v>1188</v>
      </c>
      <c r="U37" s="1908" t="e">
        <f t="shared" si="13"/>
        <v>#N/A</v>
      </c>
      <c r="V37" s="1907" t="s">
        <v>1188</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1257</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1210</v>
      </c>
      <c r="Q38" s="1304" t="str">
        <f t="shared" si="11"/>
        <v>物业管理</v>
      </c>
      <c r="R38" s="1911" t="s">
        <v>1188</v>
      </c>
      <c r="S38" s="1912">
        <f t="shared" si="12"/>
        <v>100</v>
      </c>
      <c r="T38" s="1911" t="s">
        <v>1188</v>
      </c>
      <c r="U38" s="1912">
        <f t="shared" si="13"/>
        <v>100</v>
      </c>
      <c r="V38" s="1911" t="s">
        <v>1188</v>
      </c>
      <c r="W38" s="1912">
        <f t="shared" si="14"/>
        <v>100</v>
      </c>
      <c r="X38" s="1899"/>
      <c r="Y38" s="1874" t="s">
        <v>1210</v>
      </c>
      <c r="Z38" s="1886" t="str">
        <f t="shared" si="18"/>
        <v>物业管理</v>
      </c>
      <c r="AA38" s="1886">
        <f t="shared" si="15"/>
        <v>1</v>
      </c>
      <c r="AB38" s="1886">
        <f t="shared" si="16"/>
        <v>1</v>
      </c>
      <c r="AC38" s="1886">
        <f t="shared" si="17"/>
        <v>1</v>
      </c>
    </row>
    <row r="39" ht="15.5" spans="1:29">
      <c r="A39" s="1772"/>
      <c r="B39" s="1721" t="s">
        <v>1214</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1188</v>
      </c>
      <c r="S39" s="1912">
        <f t="shared" si="12"/>
        <v>100</v>
      </c>
      <c r="T39" s="1911" t="s">
        <v>1188</v>
      </c>
      <c r="U39" s="1912">
        <f t="shared" si="13"/>
        <v>100</v>
      </c>
      <c r="V39" s="1911" t="s">
        <v>1188</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1596</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1188</v>
      </c>
      <c r="S40" s="1912">
        <f t="shared" si="12"/>
        <v>100</v>
      </c>
      <c r="T40" s="1911" t="s">
        <v>1188</v>
      </c>
      <c r="U40" s="1912">
        <f t="shared" si="13"/>
        <v>100</v>
      </c>
      <c r="V40" s="1911" t="s">
        <v>1188</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1597</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1188</v>
      </c>
      <c r="S41" s="1914">
        <f t="shared" si="12"/>
        <v>100</v>
      </c>
      <c r="T41" s="1913" t="s">
        <v>1188</v>
      </c>
      <c r="U41" s="1914">
        <f t="shared" si="13"/>
        <v>100</v>
      </c>
      <c r="V41" s="1913" t="s">
        <v>1188</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1219</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1188</v>
      </c>
      <c r="S42" s="1912">
        <f t="shared" si="12"/>
        <v>100</v>
      </c>
      <c r="T42" s="1911" t="s">
        <v>1188</v>
      </c>
      <c r="U42" s="1912">
        <f t="shared" si="13"/>
        <v>100</v>
      </c>
      <c r="V42" s="1911" t="s">
        <v>1188</v>
      </c>
      <c r="W42" s="1912">
        <f t="shared" si="14"/>
        <v>100</v>
      </c>
      <c r="X42" s="1899"/>
      <c r="Y42" s="1874"/>
      <c r="Z42" s="1886" t="str">
        <f t="shared" si="18"/>
        <v>内部装修</v>
      </c>
      <c r="AA42" s="1886">
        <f t="shared" si="15"/>
        <v>1</v>
      </c>
      <c r="AB42" s="1886">
        <f t="shared" si="16"/>
        <v>1</v>
      </c>
      <c r="AC42" s="1886">
        <f t="shared" si="17"/>
        <v>1</v>
      </c>
    </row>
    <row r="43" ht="28" spans="1:29">
      <c r="A43" s="1772"/>
      <c r="B43" s="1721" t="s">
        <v>1220</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1188</v>
      </c>
      <c r="S43" s="1912">
        <f t="shared" si="12"/>
        <v>100</v>
      </c>
      <c r="T43" s="1911" t="s">
        <v>1188</v>
      </c>
      <c r="U43" s="1912">
        <f t="shared" si="13"/>
        <v>100</v>
      </c>
      <c r="V43" s="1911" t="s">
        <v>1188</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1188</v>
      </c>
      <c r="S44" s="1908">
        <f t="shared" si="12"/>
        <v>100</v>
      </c>
      <c r="T44" s="1907" t="s">
        <v>1188</v>
      </c>
      <c r="U44" s="1908">
        <f t="shared" si="13"/>
        <v>100</v>
      </c>
      <c r="V44" s="1907" t="s">
        <v>1188</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1188</v>
      </c>
      <c r="S45" s="1912">
        <f t="shared" si="12"/>
        <v>100</v>
      </c>
      <c r="T45" s="1911" t="s">
        <v>1188</v>
      </c>
      <c r="U45" s="1912">
        <f t="shared" si="13"/>
        <v>100</v>
      </c>
      <c r="V45" s="1911" t="s">
        <v>1188</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1188</v>
      </c>
      <c r="S46" s="1912">
        <f t="shared" si="12"/>
        <v>100</v>
      </c>
      <c r="T46" s="1911" t="s">
        <v>1188</v>
      </c>
      <c r="U46" s="1912">
        <f t="shared" si="13"/>
        <v>100</v>
      </c>
      <c r="V46" s="1911" t="s">
        <v>1188</v>
      </c>
      <c r="W46" s="1912">
        <f t="shared" si="14"/>
        <v>100</v>
      </c>
      <c r="X46" s="1899"/>
      <c r="Y46" s="2191"/>
      <c r="Z46" s="1886">
        <f t="shared" si="18"/>
        <v>111</v>
      </c>
      <c r="AA46" s="1886">
        <f t="shared" si="15"/>
        <v>1</v>
      </c>
      <c r="AB46" s="1886">
        <f t="shared" si="16"/>
        <v>1</v>
      </c>
      <c r="AC46" s="1886">
        <f t="shared" si="17"/>
        <v>1</v>
      </c>
    </row>
    <row r="47" spans="1:29">
      <c r="A47" s="1779" t="s">
        <v>1221</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1222</v>
      </c>
      <c r="B48" s="2091"/>
      <c r="C48" s="2092" t="e">
        <f>R49</f>
        <v>#DIV/0!</v>
      </c>
      <c r="D48" s="1790" t="s">
        <v>1223</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1224</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1225</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1226</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1227</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1228</v>
      </c>
      <c r="B57" s="1836"/>
      <c r="C57" s="1837"/>
      <c r="D57" s="1837"/>
      <c r="E57" s="1837"/>
      <c r="F57" s="1838"/>
      <c r="G57" s="1838"/>
      <c r="H57" s="1837"/>
      <c r="I57" s="1837"/>
      <c r="J57" s="1837"/>
      <c r="K57" s="2053"/>
      <c r="L57" s="2054"/>
      <c r="M57" s="1894"/>
      <c r="N57" s="1894"/>
      <c r="O57" s="1894"/>
      <c r="P57" s="2248"/>
      <c r="Q57" s="2196"/>
    </row>
    <row r="58" s="1676" customFormat="1" spans="1:16">
      <c r="A58" s="2095" t="s">
        <v>1186</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1229</v>
      </c>
      <c r="B60" s="1931"/>
      <c r="C60" s="1932"/>
      <c r="D60" s="1933"/>
      <c r="E60" s="1933"/>
      <c r="F60" s="1933"/>
      <c r="G60" s="1933"/>
      <c r="H60" s="1933"/>
      <c r="I60" s="1933"/>
      <c r="J60" s="1933"/>
      <c r="K60" s="1933"/>
      <c r="L60" s="1933"/>
      <c r="M60" s="1973"/>
      <c r="N60" s="1933"/>
      <c r="O60" s="1973"/>
      <c r="P60" s="2250"/>
      <c r="Q60" s="2196"/>
    </row>
    <row r="61" s="1671" customFormat="1" spans="1:17">
      <c r="A61" s="1934" t="s">
        <v>1189</v>
      </c>
      <c r="B61" s="1935"/>
      <c r="C61" s="1936" t="s">
        <v>1230</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1231</v>
      </c>
      <c r="B63" s="1940" t="s">
        <v>1192</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1195</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1196</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1197</v>
      </c>
      <c r="B76" s="1940" t="s">
        <v>1232</v>
      </c>
      <c r="C76" s="1960" t="s">
        <v>1233</v>
      </c>
      <c r="D76" s="1960" t="s">
        <v>1234</v>
      </c>
      <c r="E76" s="1960" t="s">
        <v>1235</v>
      </c>
      <c r="F76" s="1960" t="s">
        <v>1236</v>
      </c>
      <c r="G76" s="1960" t="s">
        <v>1237</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1200</v>
      </c>
      <c r="C78" s="1961" t="s">
        <v>1233</v>
      </c>
      <c r="D78" s="1961" t="s">
        <v>1234</v>
      </c>
      <c r="E78" s="1961" t="s">
        <v>1235</v>
      </c>
      <c r="F78" s="1961" t="s">
        <v>1236</v>
      </c>
      <c r="G78" s="1961" t="s">
        <v>1237</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1201</v>
      </c>
      <c r="C80" s="1961" t="s">
        <v>1233</v>
      </c>
      <c r="D80" s="1961" t="s">
        <v>1234</v>
      </c>
      <c r="E80" s="1961" t="s">
        <v>1235</v>
      </c>
      <c r="F80" s="1961" t="s">
        <v>1236</v>
      </c>
      <c r="G80" s="1961" t="s">
        <v>1237</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1202</v>
      </c>
      <c r="C82" s="1944" t="s">
        <v>1238</v>
      </c>
      <c r="D82" s="1944" t="s">
        <v>1239</v>
      </c>
      <c r="E82" s="1944" t="s">
        <v>1240</v>
      </c>
      <c r="F82" s="1944" t="s">
        <v>1241</v>
      </c>
      <c r="G82" s="1944" t="s">
        <v>1242</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1203</v>
      </c>
      <c r="C84" s="1961" t="s">
        <v>1233</v>
      </c>
      <c r="D84" s="1961" t="s">
        <v>1234</v>
      </c>
      <c r="E84" s="1961" t="s">
        <v>1235</v>
      </c>
      <c r="F84" s="1961" t="s">
        <v>1236</v>
      </c>
      <c r="G84" s="1961" t="s">
        <v>1237</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1594</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1251</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1208</v>
      </c>
      <c r="B100" s="1940" t="s">
        <v>1255</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1211</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1212</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1595</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1213</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660</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1257</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1214</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1596</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1597</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1219</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1220</v>
      </c>
      <c r="C124" s="1961" t="s">
        <v>1233</v>
      </c>
      <c r="D124" s="1961" t="s">
        <v>1234</v>
      </c>
      <c r="E124" s="1961" t="s">
        <v>1235</v>
      </c>
      <c r="F124" s="1961" t="s">
        <v>1236</v>
      </c>
      <c r="G124" s="1961" t="s">
        <v>1237</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1598</v>
      </c>
    </row>
    <row r="137" ht="15.5" spans="2:11">
      <c r="B137" s="2263" t="s">
        <v>1599</v>
      </c>
      <c r="C137" s="2264"/>
      <c r="D137" s="2264"/>
      <c r="E137" s="2264"/>
      <c r="F137" s="2264"/>
      <c r="G137" s="2265"/>
      <c r="H137" s="2266"/>
      <c r="I137" s="2288" t="s">
        <v>1600</v>
      </c>
      <c r="J137" s="2264"/>
      <c r="K137" s="2289"/>
    </row>
    <row r="138" ht="15.5" spans="2:11">
      <c r="B138" s="2267"/>
      <c r="C138" s="767" t="s">
        <v>1601</v>
      </c>
      <c r="D138" s="767" t="s">
        <v>1602</v>
      </c>
      <c r="E138" s="2268" t="s">
        <v>1603</v>
      </c>
      <c r="F138" s="2269" t="s">
        <v>1604</v>
      </c>
      <c r="G138" s="767" t="s">
        <v>1602</v>
      </c>
      <c r="H138" s="768" t="s">
        <v>1603</v>
      </c>
      <c r="I138" s="2290"/>
      <c r="J138" s="767" t="s">
        <v>1605</v>
      </c>
      <c r="K138" s="768" t="s">
        <v>1606</v>
      </c>
    </row>
    <row r="139" ht="15.5" spans="2:11">
      <c r="B139" s="2270">
        <v>6</v>
      </c>
      <c r="C139" s="2271">
        <v>96</v>
      </c>
      <c r="D139" s="2272" t="s">
        <v>1607</v>
      </c>
      <c r="E139" s="2273">
        <v>100</v>
      </c>
      <c r="F139" s="2274">
        <v>102.5</v>
      </c>
      <c r="G139" s="2272" t="s">
        <v>1607</v>
      </c>
      <c r="H139" s="2275">
        <v>105</v>
      </c>
      <c r="I139" s="2291" t="s">
        <v>1608</v>
      </c>
      <c r="J139" s="2271">
        <v>20</v>
      </c>
      <c r="K139" s="2292">
        <f>C145/(J139-2)</f>
        <v>0.00405555555555556</v>
      </c>
    </row>
    <row r="140" ht="15.5" spans="2:11">
      <c r="B140" s="2276">
        <v>5</v>
      </c>
      <c r="C140" s="2277">
        <v>100</v>
      </c>
      <c r="D140" s="2277"/>
      <c r="E140" s="2278"/>
      <c r="F140" s="2279">
        <v>102</v>
      </c>
      <c r="G140" s="2277"/>
      <c r="H140" s="2280"/>
      <c r="I140" s="2293" t="s">
        <v>1609</v>
      </c>
      <c r="J140" s="724">
        <f>ROUNDUP((J139-1)/2,0)</f>
        <v>10</v>
      </c>
      <c r="K140" s="2294">
        <v>100</v>
      </c>
    </row>
    <row r="141" ht="15.5" spans="2:11">
      <c r="B141" s="2276">
        <v>4</v>
      </c>
      <c r="C141" s="2277">
        <v>102</v>
      </c>
      <c r="D141" s="2277"/>
      <c r="E141" s="2278"/>
      <c r="F141" s="2279">
        <v>101.5</v>
      </c>
      <c r="G141" s="2277"/>
      <c r="H141" s="2280"/>
      <c r="I141" s="2293" t="s">
        <v>1610</v>
      </c>
      <c r="J141" s="724">
        <v>1</v>
      </c>
      <c r="K141" s="2295">
        <f>ROUND(100+(J141-J140)*K139*100,1)</f>
        <v>96.4</v>
      </c>
    </row>
    <row r="142" ht="15.5" spans="2:11">
      <c r="B142" s="2276">
        <v>3</v>
      </c>
      <c r="C142" s="2277">
        <v>103</v>
      </c>
      <c r="D142" s="2277"/>
      <c r="E142" s="2278"/>
      <c r="F142" s="2279">
        <v>101</v>
      </c>
      <c r="G142" s="2277"/>
      <c r="H142" s="2280"/>
      <c r="I142" s="2293" t="s">
        <v>1611</v>
      </c>
      <c r="J142" s="724">
        <f>J139</f>
        <v>20</v>
      </c>
      <c r="K142" s="2296">
        <v>95</v>
      </c>
    </row>
    <row r="143" ht="15.5" spans="2:11">
      <c r="B143" s="2276">
        <v>2</v>
      </c>
      <c r="C143" s="2277">
        <v>100</v>
      </c>
      <c r="D143" s="2277"/>
      <c r="E143" s="2278"/>
      <c r="F143" s="2279">
        <v>100.5</v>
      </c>
      <c r="G143" s="2277"/>
      <c r="H143" s="2280"/>
      <c r="I143" s="2293" t="s">
        <v>1612</v>
      </c>
      <c r="J143" s="2277">
        <v>15</v>
      </c>
      <c r="K143" s="2295">
        <f>ROUND(100+(J143-J140)*K139*100,1)</f>
        <v>102</v>
      </c>
    </row>
    <row r="144" ht="15.5" spans="2:11">
      <c r="B144" s="2276">
        <v>1</v>
      </c>
      <c r="C144" s="2277">
        <v>98</v>
      </c>
      <c r="D144" s="2281" t="s">
        <v>1613</v>
      </c>
      <c r="E144" s="2278">
        <v>102</v>
      </c>
      <c r="F144" s="2282">
        <v>100</v>
      </c>
      <c r="G144" s="2281" t="s">
        <v>1613</v>
      </c>
      <c r="H144" s="2280">
        <v>105</v>
      </c>
      <c r="I144" s="2293" t="s">
        <v>1612</v>
      </c>
      <c r="J144" s="2277">
        <v>18</v>
      </c>
      <c r="K144" s="2295">
        <f>ROUND(100+(J144-J140)*K139*100,1)</f>
        <v>103.2</v>
      </c>
    </row>
    <row r="145" ht="16.25" spans="2:11">
      <c r="B145" s="1401" t="s">
        <v>1614</v>
      </c>
      <c r="C145" s="2283">
        <f>ROUND(MAX(C139:C144)/MIN(C139:C144)-1,3)</f>
        <v>0.073</v>
      </c>
      <c r="D145" s="2284"/>
      <c r="E145" s="2284"/>
      <c r="F145" s="2285" t="s">
        <v>1615</v>
      </c>
      <c r="G145" s="2286"/>
      <c r="H145" s="2287"/>
      <c r="I145" s="2297" t="s">
        <v>1612</v>
      </c>
      <c r="J145" s="2298">
        <v>8</v>
      </c>
      <c r="K145" s="2299">
        <f>ROUND(100+(J145-J140)*K139*100,1)</f>
        <v>99.2</v>
      </c>
    </row>
    <row r="147" spans="2:2">
      <c r="B147" s="2262" t="s">
        <v>1616</v>
      </c>
    </row>
    <row r="148" spans="2:2">
      <c r="B148" s="2262" t="s">
        <v>1617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估价对象为北京市房地产，为所有。根据《国有土地使用证》[]，估价对象（分摊）出让国有建设用地使用权面积为0平方米，建筑面积为1144.97平方米。</v>
      </c>
    </row>
    <row r="8" ht="52.5" spans="1:1">
      <c r="A8" s="3373" t="s">
        <v>85</v>
      </c>
    </row>
    <row r="9" ht="17.5" spans="1:1">
      <c r="A9" s="3372" t="s">
        <v>86</v>
      </c>
    </row>
    <row r="10" ht="52.5" spans="1:1">
      <c r="A10" s="3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估价对象为北京市房地产,属开发建设的，该项目尚在开发建设中。根据《国有土地使用证》[]，估价对象（分摊）出让国有建设用地使用权面积为0平方米，规划建筑面积为1144.97平方米。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"本次评估采用的主估价方法为"&amp;结果表!K4&amp;"和"&amp;结果表!L4&amp;"。"</f>
        <v>本次评估采用的主估价方法为成本法和收益法。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175" t="s">
        <v>1618</v>
      </c>
      <c r="C1" s="2060" t="s">
        <v>1168</v>
      </c>
      <c r="D1" s="2061"/>
      <c r="E1" s="2062"/>
      <c r="F1" s="2063"/>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1010</v>
      </c>
      <c r="B3" s="1688">
        <f ca="1">IF(C2="——",C43,ROUND(B2*10000/D3,0))</f>
        <v>0</v>
      </c>
      <c r="C3" s="2071" t="s">
        <v>1172</v>
      </c>
      <c r="D3" s="2072">
        <f>IF(D1="",'数据-汇总表'!E3,SUMIF('数据-汇总表'!$C19:$C33,D1,'数据-汇总表'!$E19:$E33))</f>
        <v>1144.97</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2179"/>
      <c r="M4" s="1831"/>
      <c r="N4" s="1831"/>
      <c r="O4" s="1831"/>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40" si="3">D8/F8</f>
        <v>1</v>
      </c>
      <c r="AB8" s="1923">
        <f t="shared" ref="AB8:AB40" si="4">D8/H8</f>
        <v>1</v>
      </c>
      <c r="AC8" s="1923">
        <f t="shared" ref="AC8:AC40" si="5">D8/J8</f>
        <v>1</v>
      </c>
    </row>
    <row r="9" s="1671" customFormat="1" spans="1:29">
      <c r="A9" s="1716" t="s">
        <v>1191</v>
      </c>
      <c r="B9" s="1717" t="s">
        <v>1192</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2031" t="s">
        <v>1619</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1199</v>
      </c>
      <c r="Q15" s="1304" t="str">
        <f t="shared" si="6"/>
        <v>产业集聚程度</v>
      </c>
      <c r="R15" s="1911" t="s">
        <v>1188</v>
      </c>
      <c r="S15" s="1912">
        <f t="shared" si="0"/>
        <v>100</v>
      </c>
      <c r="T15" s="1911" t="s">
        <v>1188</v>
      </c>
      <c r="U15" s="1912">
        <f t="shared" si="1"/>
        <v>100</v>
      </c>
      <c r="V15" s="1911" t="s">
        <v>1188</v>
      </c>
      <c r="W15" s="1912">
        <f t="shared" si="2"/>
        <v>100</v>
      </c>
      <c r="X15" s="1899"/>
      <c r="Y15" s="1864" t="s">
        <v>1199</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1200</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1202</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1249</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1188</v>
      </c>
      <c r="S23" s="1912">
        <f>F23</f>
        <v>100</v>
      </c>
      <c r="T23" s="1911" t="s">
        <v>1188</v>
      </c>
      <c r="U23" s="1912">
        <f>H23</f>
        <v>100</v>
      </c>
      <c r="V23" s="1911" t="s">
        <v>1188</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1188</v>
      </c>
      <c r="S25" s="1912">
        <f>F25</f>
        <v>100</v>
      </c>
      <c r="T25" s="1911" t="s">
        <v>1188</v>
      </c>
      <c r="U25" s="1912">
        <f>H25</f>
        <v>100</v>
      </c>
      <c r="V25" s="1911" t="s">
        <v>1188</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1188</v>
      </c>
      <c r="S26" s="1912">
        <f>F26</f>
        <v>100</v>
      </c>
      <c r="T26" s="1911" t="s">
        <v>1188</v>
      </c>
      <c r="U26" s="1912">
        <f>H26</f>
        <v>100</v>
      </c>
      <c r="V26" s="1911" t="s">
        <v>1188</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1188</v>
      </c>
      <c r="S27" s="1908">
        <f>F27</f>
        <v>100</v>
      </c>
      <c r="T27" s="1907" t="s">
        <v>1188</v>
      </c>
      <c r="U27" s="1908">
        <f>H27</f>
        <v>100</v>
      </c>
      <c r="V27" s="1907" t="s">
        <v>1188</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1188</v>
      </c>
      <c r="S28" s="1912">
        <f t="shared" ref="S28:S40" si="12">F28</f>
        <v>100</v>
      </c>
      <c r="T28" s="1911" t="s">
        <v>1188</v>
      </c>
      <c r="U28" s="1912">
        <f t="shared" ref="U28:U40" si="13">H28</f>
        <v>100</v>
      </c>
      <c r="V28" s="1911" t="s">
        <v>1188</v>
      </c>
      <c r="W28" s="1912">
        <f t="shared" ref="W28:W40" si="14">J28</f>
        <v>100</v>
      </c>
      <c r="X28" s="1899"/>
      <c r="Y28" s="1865"/>
      <c r="Z28" s="1886">
        <f t="shared" ref="Z28:Z40" si="15">Q28</f>
        <v>111</v>
      </c>
      <c r="AA28" s="1886">
        <f t="shared" si="3"/>
        <v>1</v>
      </c>
      <c r="AB28" s="1886">
        <f t="shared" si="4"/>
        <v>1</v>
      </c>
      <c r="AC28" s="1886">
        <f t="shared" si="5"/>
        <v>1</v>
      </c>
    </row>
    <row r="29" ht="15.5" spans="1:29">
      <c r="A29" s="2080" t="s">
        <v>1208</v>
      </c>
      <c r="B29" s="1717" t="s">
        <v>1255</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1210</v>
      </c>
      <c r="Q29" s="1304" t="str">
        <f t="shared" si="11"/>
        <v>建筑类型</v>
      </c>
      <c r="R29" s="1911" t="s">
        <v>1188</v>
      </c>
      <c r="S29" s="1912">
        <f t="shared" si="12"/>
        <v>100</v>
      </c>
      <c r="T29" s="1911" t="s">
        <v>1188</v>
      </c>
      <c r="U29" s="1912">
        <f t="shared" si="13"/>
        <v>100</v>
      </c>
      <c r="V29" s="1911" t="s">
        <v>1188</v>
      </c>
      <c r="W29" s="1912">
        <f t="shared" si="14"/>
        <v>100</v>
      </c>
      <c r="X29" s="1899"/>
      <c r="Y29" s="1874" t="s">
        <v>1210</v>
      </c>
      <c r="Z29" s="1886" t="str">
        <f t="shared" si="15"/>
        <v>建筑类型</v>
      </c>
      <c r="AA29" s="1886">
        <f t="shared" si="3"/>
        <v>1</v>
      </c>
      <c r="AB29" s="1886">
        <f t="shared" si="4"/>
        <v>1</v>
      </c>
      <c r="AC29" s="1886">
        <f t="shared" si="5"/>
        <v>1</v>
      </c>
    </row>
    <row r="30" s="1673" customFormat="1" ht="15.5" spans="1:29">
      <c r="A30" s="1777"/>
      <c r="B30" s="1721" t="s">
        <v>1211</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1188</v>
      </c>
      <c r="S30" s="1914" t="e">
        <f t="shared" si="12"/>
        <v>#N/A</v>
      </c>
      <c r="T30" s="1913" t="s">
        <v>1188</v>
      </c>
      <c r="U30" s="1914" t="e">
        <f t="shared" si="13"/>
        <v>#N/A</v>
      </c>
      <c r="V30" s="1913" t="s">
        <v>1188</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1212</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1188</v>
      </c>
      <c r="S31" s="1912">
        <f t="shared" si="12"/>
        <v>100</v>
      </c>
      <c r="T31" s="1911" t="s">
        <v>1188</v>
      </c>
      <c r="U31" s="1912">
        <f t="shared" si="13"/>
        <v>100</v>
      </c>
      <c r="V31" s="1911" t="s">
        <v>1188</v>
      </c>
      <c r="W31" s="1912">
        <f t="shared" si="14"/>
        <v>100</v>
      </c>
      <c r="X31" s="1899"/>
      <c r="Y31" s="1874"/>
      <c r="Z31" s="1886" t="str">
        <f t="shared" si="15"/>
        <v>建筑结构</v>
      </c>
      <c r="AA31" s="1886">
        <f t="shared" si="3"/>
        <v>1</v>
      </c>
      <c r="AB31" s="1886">
        <f t="shared" si="4"/>
        <v>1</v>
      </c>
      <c r="AC31" s="1886">
        <f t="shared" si="5"/>
        <v>1</v>
      </c>
    </row>
    <row r="32" ht="15.5" spans="1:29">
      <c r="A32" s="1772"/>
      <c r="B32" s="1721" t="s">
        <v>1213</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1188</v>
      </c>
      <c r="S32" s="1912">
        <f t="shared" si="12"/>
        <v>100</v>
      </c>
      <c r="T32" s="1911" t="s">
        <v>1188</v>
      </c>
      <c r="U32" s="1912">
        <f t="shared" si="13"/>
        <v>100</v>
      </c>
      <c r="V32" s="1911" t="s">
        <v>1188</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660</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1188</v>
      </c>
      <c r="S33" s="1912" t="e">
        <f t="shared" si="12"/>
        <v>#N/A</v>
      </c>
      <c r="T33" s="1911" t="s">
        <v>1188</v>
      </c>
      <c r="U33" s="1912" t="e">
        <f t="shared" si="13"/>
        <v>#N/A</v>
      </c>
      <c r="V33" s="1911" t="s">
        <v>1188</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1257</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1188</v>
      </c>
      <c r="S34" s="1908">
        <f t="shared" si="12"/>
        <v>100</v>
      </c>
      <c r="T34" s="1907" t="s">
        <v>1188</v>
      </c>
      <c r="U34" s="1908">
        <f t="shared" si="13"/>
        <v>100</v>
      </c>
      <c r="V34" s="1907" t="s">
        <v>1188</v>
      </c>
      <c r="W34" s="1908">
        <f t="shared" si="14"/>
        <v>100</v>
      </c>
      <c r="X34" s="1909"/>
      <c r="Y34" s="1874"/>
      <c r="Z34" s="1923" t="str">
        <f t="shared" si="15"/>
        <v>物业管理</v>
      </c>
      <c r="AA34" s="1923">
        <f t="shared" si="3"/>
        <v>1</v>
      </c>
      <c r="AB34" s="1923">
        <f t="shared" si="4"/>
        <v>1</v>
      </c>
      <c r="AC34" s="1923">
        <f t="shared" si="5"/>
        <v>1</v>
      </c>
    </row>
    <row r="35" ht="15.5" spans="1:29">
      <c r="A35" s="1772"/>
      <c r="B35" s="1721" t="s">
        <v>1214</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1210</v>
      </c>
      <c r="Q35" s="1304" t="str">
        <f t="shared" si="11"/>
        <v>市政基础设施</v>
      </c>
      <c r="R35" s="1911" t="s">
        <v>1188</v>
      </c>
      <c r="S35" s="1912">
        <f t="shared" si="12"/>
        <v>100</v>
      </c>
      <c r="T35" s="1911" t="s">
        <v>1188</v>
      </c>
      <c r="U35" s="1912">
        <f t="shared" si="13"/>
        <v>100</v>
      </c>
      <c r="V35" s="1911" t="s">
        <v>1188</v>
      </c>
      <c r="W35" s="1912">
        <f t="shared" si="14"/>
        <v>100</v>
      </c>
      <c r="X35" s="1899"/>
      <c r="Y35" s="1874" t="s">
        <v>1210</v>
      </c>
      <c r="Z35" s="1886" t="str">
        <f t="shared" si="15"/>
        <v>市政基础设施</v>
      </c>
      <c r="AA35" s="1886">
        <f t="shared" si="3"/>
        <v>1</v>
      </c>
      <c r="AB35" s="1886">
        <f t="shared" si="4"/>
        <v>1</v>
      </c>
      <c r="AC35" s="1886">
        <f t="shared" si="5"/>
        <v>1</v>
      </c>
    </row>
    <row r="36" ht="15.5" spans="1:29">
      <c r="A36" s="1772"/>
      <c r="B36" s="1721" t="s">
        <v>1219</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1188</v>
      </c>
      <c r="S36" s="1912">
        <f t="shared" si="12"/>
        <v>100</v>
      </c>
      <c r="T36" s="1911" t="s">
        <v>1188</v>
      </c>
      <c r="U36" s="1912">
        <f t="shared" si="13"/>
        <v>100</v>
      </c>
      <c r="V36" s="1911" t="s">
        <v>1188</v>
      </c>
      <c r="W36" s="1912">
        <f t="shared" si="14"/>
        <v>100</v>
      </c>
      <c r="X36" s="1899"/>
      <c r="Y36" s="1874"/>
      <c r="Z36" s="1886" t="str">
        <f t="shared" si="15"/>
        <v>内部装修</v>
      </c>
      <c r="AA36" s="1886">
        <f t="shared" si="3"/>
        <v>1</v>
      </c>
      <c r="AB36" s="1886">
        <f t="shared" si="4"/>
        <v>1</v>
      </c>
      <c r="AC36" s="1886">
        <f t="shared" si="5"/>
        <v>1</v>
      </c>
    </row>
    <row r="37" ht="15.5" spans="1:29">
      <c r="A37" s="1772"/>
      <c r="B37" s="1721" t="s">
        <v>1620</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1188</v>
      </c>
      <c r="S37" s="1912">
        <f t="shared" si="12"/>
        <v>100</v>
      </c>
      <c r="T37" s="1911" t="s">
        <v>1188</v>
      </c>
      <c r="U37" s="1912">
        <f t="shared" si="13"/>
        <v>100</v>
      </c>
      <c r="V37" s="1911" t="s">
        <v>1188</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1188</v>
      </c>
      <c r="S38" s="1914">
        <f t="shared" si="12"/>
        <v>100</v>
      </c>
      <c r="T38" s="1913" t="s">
        <v>1188</v>
      </c>
      <c r="U38" s="1914">
        <f t="shared" si="13"/>
        <v>100</v>
      </c>
      <c r="V38" s="1913" t="s">
        <v>1188</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1188</v>
      </c>
      <c r="S39" s="1912">
        <f t="shared" si="12"/>
        <v>100</v>
      </c>
      <c r="T39" s="1911" t="s">
        <v>1188</v>
      </c>
      <c r="U39" s="1912">
        <f t="shared" si="13"/>
        <v>100</v>
      </c>
      <c r="V39" s="1911" t="s">
        <v>1188</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1188</v>
      </c>
      <c r="S40" s="1912">
        <f t="shared" si="12"/>
        <v>100</v>
      </c>
      <c r="T40" s="1911" t="s">
        <v>1188</v>
      </c>
      <c r="U40" s="1912">
        <f t="shared" si="13"/>
        <v>100</v>
      </c>
      <c r="V40" s="1911" t="s">
        <v>1188</v>
      </c>
      <c r="W40" s="1912">
        <f t="shared" si="14"/>
        <v>100</v>
      </c>
      <c r="X40" s="1899"/>
      <c r="Y40" s="2191"/>
      <c r="Z40" s="1886">
        <f t="shared" si="15"/>
        <v>111</v>
      </c>
      <c r="AA40" s="1886">
        <f t="shared" si="3"/>
        <v>1</v>
      </c>
      <c r="AB40" s="1886">
        <f t="shared" si="4"/>
        <v>1</v>
      </c>
      <c r="AC40" s="1886">
        <f t="shared" si="5"/>
        <v>1</v>
      </c>
    </row>
    <row r="41" spans="1:29">
      <c r="A41" s="1779" t="s">
        <v>1221</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1222</v>
      </c>
      <c r="B42" s="2091"/>
      <c r="C42" s="2092" t="e">
        <f>R43</f>
        <v>#DIV/0!</v>
      </c>
      <c r="D42" s="1790" t="s">
        <v>1223</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1224</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1225</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1226</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1227</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1228</v>
      </c>
      <c r="B51" s="1836"/>
      <c r="C51" s="1837"/>
      <c r="D51" s="1837"/>
      <c r="E51" s="1837"/>
      <c r="F51" s="1838"/>
      <c r="G51" s="1838"/>
      <c r="H51" s="1837"/>
      <c r="I51" s="1837"/>
      <c r="J51" s="1837"/>
      <c r="K51" s="2053"/>
      <c r="L51" s="2054"/>
      <c r="M51" s="1894"/>
      <c r="N51" s="1894"/>
      <c r="O51" s="1894"/>
      <c r="P51" s="2195"/>
      <c r="Q51" s="2196"/>
    </row>
    <row r="52" s="1676" customFormat="1" spans="1:15">
      <c r="A52" s="2095" t="s">
        <v>1186</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1229</v>
      </c>
      <c r="B54" s="1931"/>
      <c r="C54" s="1932"/>
      <c r="D54" s="1933"/>
      <c r="E54" s="1933"/>
      <c r="F54" s="1933"/>
      <c r="G54" s="1933"/>
      <c r="H54" s="1933"/>
      <c r="I54" s="1933"/>
      <c r="J54" s="1933"/>
      <c r="K54" s="1933"/>
      <c r="L54" s="1933"/>
      <c r="M54" s="1973"/>
      <c r="N54" s="2197"/>
      <c r="O54" s="2198"/>
      <c r="P54" s="2196"/>
      <c r="Q54" s="2196"/>
    </row>
    <row r="55" s="1671" customFormat="1" spans="1:17">
      <c r="A55" s="1934" t="s">
        <v>1189</v>
      </c>
      <c r="B55" s="1935"/>
      <c r="C55" s="1936" t="s">
        <v>1230</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1231</v>
      </c>
      <c r="B57" s="1940" t="s">
        <v>1192</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1195</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1196</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1197</v>
      </c>
      <c r="B70" s="1940" t="s">
        <v>1619</v>
      </c>
      <c r="C70" s="1960" t="s">
        <v>1233</v>
      </c>
      <c r="D70" s="1960" t="s">
        <v>1234</v>
      </c>
      <c r="E70" s="1960" t="s">
        <v>1235</v>
      </c>
      <c r="F70" s="1960" t="s">
        <v>1236</v>
      </c>
      <c r="G70" s="1960" t="s">
        <v>1237</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1200</v>
      </c>
      <c r="C72" s="1961" t="s">
        <v>1233</v>
      </c>
      <c r="D72" s="1961" t="s">
        <v>1234</v>
      </c>
      <c r="E72" s="1961" t="s">
        <v>1235</v>
      </c>
      <c r="F72" s="1961" t="s">
        <v>1236</v>
      </c>
      <c r="G72" s="1961" t="s">
        <v>1237</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1201</v>
      </c>
      <c r="C74" s="1961" t="s">
        <v>1233</v>
      </c>
      <c r="D74" s="1961" t="s">
        <v>1234</v>
      </c>
      <c r="E74" s="1961" t="s">
        <v>1235</v>
      </c>
      <c r="F74" s="1961" t="s">
        <v>1236</v>
      </c>
      <c r="G74" s="1961" t="s">
        <v>1237</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1202</v>
      </c>
      <c r="C76" s="1865" t="s">
        <v>1238</v>
      </c>
      <c r="D76" s="1865" t="s">
        <v>1239</v>
      </c>
      <c r="E76" s="1865" t="s">
        <v>1240</v>
      </c>
      <c r="F76" s="1865" t="s">
        <v>1241</v>
      </c>
      <c r="G76" s="1865" t="s">
        <v>1242</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1249</v>
      </c>
      <c r="C78" s="1961" t="s">
        <v>1233</v>
      </c>
      <c r="D78" s="1961" t="s">
        <v>1234</v>
      </c>
      <c r="E78" s="1961" t="s">
        <v>1235</v>
      </c>
      <c r="F78" s="1961" t="s">
        <v>1236</v>
      </c>
      <c r="G78" s="1961" t="s">
        <v>1237</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1208</v>
      </c>
      <c r="B88" s="1940" t="s">
        <v>1255</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1211</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1212</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1213</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660</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1257</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1214</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1219</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1621</v>
      </c>
      <c r="C106" s="1961" t="s">
        <v>1233</v>
      </c>
      <c r="D106" s="1961" t="s">
        <v>1234</v>
      </c>
      <c r="E106" s="1961" t="s">
        <v>1235</v>
      </c>
      <c r="F106" s="1961" t="s">
        <v>1236</v>
      </c>
      <c r="G106" s="1961" t="s">
        <v>1237</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1622</v>
      </c>
      <c r="B1" s="2059" t="s">
        <v>1623</v>
      </c>
      <c r="C1" s="2060" t="s">
        <v>1168</v>
      </c>
      <c r="D1" s="2061"/>
      <c r="E1" s="2062"/>
      <c r="F1" s="2063"/>
      <c r="G1" s="2121" t="s">
        <v>1171</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1010</v>
      </c>
      <c r="B3" s="1688" t="e">
        <f ca="1">IF(AND(C2="——",B37="元/平方米"),C39,ROUND(B2*10000/D3,0))</f>
        <v>#DIV/0!</v>
      </c>
      <c r="C3" s="2071" t="s">
        <v>1172</v>
      </c>
      <c r="D3" s="2072">
        <f>SUMIF('数据-汇总表'!$C19:$C33,D1,'数据-汇总表'!$E19:$E33)</f>
        <v>0</v>
      </c>
      <c r="E3" s="2071" t="s">
        <v>1624</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1187</v>
      </c>
      <c r="Q7" s="1906"/>
      <c r="R7" s="1907" t="s">
        <v>1188</v>
      </c>
      <c r="S7" s="1908">
        <f t="shared" ref="S7:S14" si="0">F7</f>
        <v>0</v>
      </c>
      <c r="T7" s="1907" t="s">
        <v>1188</v>
      </c>
      <c r="U7" s="1908">
        <f t="shared" ref="U7:U14" si="1">H7</f>
        <v>0</v>
      </c>
      <c r="V7" s="1907" t="s">
        <v>1188</v>
      </c>
      <c r="W7" s="1908">
        <f t="shared" ref="W7:W14"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36" si="3">D8/F8</f>
        <v>1</v>
      </c>
      <c r="AB8" s="1923">
        <f t="shared" ref="AB8:AB36" si="4">D8/H8</f>
        <v>1</v>
      </c>
      <c r="AC8" s="1923">
        <f t="shared" ref="AC8:AC36" si="5">D8/J8</f>
        <v>1</v>
      </c>
    </row>
    <row r="9" s="1671" customFormat="1" spans="1:29">
      <c r="A9" s="2123" t="s">
        <v>1191</v>
      </c>
      <c r="B9" s="2124" t="s">
        <v>1192</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1193</v>
      </c>
      <c r="Q9" s="745" t="str">
        <f t="shared" ref="Q9:Q14" si="6">B9</f>
        <v>用途</v>
      </c>
      <c r="R9" s="1907" t="s">
        <v>1188</v>
      </c>
      <c r="S9" s="1908">
        <f t="shared" si="0"/>
        <v>100</v>
      </c>
      <c r="T9" s="1907" t="s">
        <v>1188</v>
      </c>
      <c r="U9" s="1908">
        <f t="shared" si="1"/>
        <v>100</v>
      </c>
      <c r="V9" s="1907" t="s">
        <v>1188</v>
      </c>
      <c r="W9" s="1908">
        <f t="shared" si="2"/>
        <v>100</v>
      </c>
      <c r="X9" s="1909"/>
      <c r="Y9" s="745" t="s">
        <v>1194</v>
      </c>
      <c r="Z9" s="1923" t="str">
        <f t="shared" ref="Z9:Z14" si="7">Q9</f>
        <v>用途</v>
      </c>
      <c r="AA9" s="1923">
        <f t="shared" si="3"/>
        <v>1</v>
      </c>
      <c r="AB9" s="1923">
        <f t="shared" si="4"/>
        <v>1</v>
      </c>
      <c r="AC9" s="1923">
        <f t="shared" si="5"/>
        <v>1</v>
      </c>
    </row>
    <row r="10" s="1672" customFormat="1" ht="28" spans="1:29">
      <c r="A10" s="2126"/>
      <c r="B10" s="2127" t="s">
        <v>1195</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1188</v>
      </c>
      <c r="S11" s="1908">
        <f t="shared" si="0"/>
        <v>100</v>
      </c>
      <c r="T11" s="1907" t="s">
        <v>1188</v>
      </c>
      <c r="U11" s="1908">
        <f t="shared" si="1"/>
        <v>100</v>
      </c>
      <c r="V11" s="1907" t="s">
        <v>1188</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98" spans="1:29">
      <c r="A14" s="1690" t="s">
        <v>1197</v>
      </c>
      <c r="B14" s="1738" t="s">
        <v>1200</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1199</v>
      </c>
      <c r="Q14" s="1304" t="str">
        <f t="shared" si="6"/>
        <v>交通便捷度</v>
      </c>
      <c r="R14" s="1911" t="s">
        <v>1188</v>
      </c>
      <c r="S14" s="1912">
        <f t="shared" si="0"/>
        <v>100</v>
      </c>
      <c r="T14" s="1911" t="s">
        <v>1188</v>
      </c>
      <c r="U14" s="1912">
        <f t="shared" si="1"/>
        <v>100</v>
      </c>
      <c r="V14" s="1911" t="s">
        <v>1188</v>
      </c>
      <c r="W14" s="1912">
        <f t="shared" si="2"/>
        <v>100</v>
      </c>
      <c r="X14" s="1899"/>
      <c r="Y14" s="1864" t="s">
        <v>1199</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1201</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1188</v>
      </c>
      <c r="S16" s="1912">
        <f>F16</f>
        <v>100</v>
      </c>
      <c r="T16" s="1911" t="s">
        <v>1188</v>
      </c>
      <c r="U16" s="1912">
        <f>H16</f>
        <v>100</v>
      </c>
      <c r="V16" s="1911" t="s">
        <v>1188</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1202</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1188</v>
      </c>
      <c r="S18" s="1912">
        <f>F18</f>
        <v>100</v>
      </c>
      <c r="T18" s="1911" t="s">
        <v>1188</v>
      </c>
      <c r="U18" s="1912">
        <f>H18</f>
        <v>100</v>
      </c>
      <c r="V18" s="1911" t="s">
        <v>1188</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1203</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1188</v>
      </c>
      <c r="S20" s="1912">
        <f>F20</f>
        <v>100</v>
      </c>
      <c r="T20" s="1911" t="s">
        <v>1188</v>
      </c>
      <c r="U20" s="1912">
        <f>H20</f>
        <v>100</v>
      </c>
      <c r="V20" s="1911" t="s">
        <v>1188</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1207</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1188</v>
      </c>
      <c r="S22" s="1912">
        <f>F22</f>
        <v>100</v>
      </c>
      <c r="T22" s="1911" t="s">
        <v>1188</v>
      </c>
      <c r="U22" s="1912">
        <f>H22</f>
        <v>100</v>
      </c>
      <c r="V22" s="1911" t="s">
        <v>1188</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1188</v>
      </c>
      <c r="S23" s="1912">
        <f>F23</f>
        <v>100</v>
      </c>
      <c r="T23" s="1911" t="s">
        <v>1188</v>
      </c>
      <c r="U23" s="1912">
        <f>H23</f>
        <v>100</v>
      </c>
      <c r="V23" s="1911" t="s">
        <v>1188</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1188</v>
      </c>
      <c r="S24" s="1912">
        <f>F24</f>
        <v>100</v>
      </c>
      <c r="T24" s="1911" t="s">
        <v>1188</v>
      </c>
      <c r="U24" s="1912">
        <f>H24</f>
        <v>100</v>
      </c>
      <c r="V24" s="1911" t="s">
        <v>1188</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1188</v>
      </c>
      <c r="S25" s="1908">
        <f>F25</f>
        <v>100</v>
      </c>
      <c r="T25" s="1907" t="s">
        <v>1188</v>
      </c>
      <c r="U25" s="1908">
        <f>H25</f>
        <v>100</v>
      </c>
      <c r="V25" s="1907" t="s">
        <v>1188</v>
      </c>
      <c r="W25" s="1908">
        <f>J25</f>
        <v>100</v>
      </c>
      <c r="X25" s="1909"/>
      <c r="Y25" s="1865"/>
      <c r="Z25" s="1923">
        <f>Q25</f>
        <v>111</v>
      </c>
      <c r="AA25" s="1886">
        <f t="shared" si="3"/>
        <v>1</v>
      </c>
      <c r="AB25" s="1886">
        <f t="shared" si="4"/>
        <v>1</v>
      </c>
      <c r="AC25" s="1886">
        <f t="shared" si="5"/>
        <v>1</v>
      </c>
    </row>
    <row r="26" ht="15.5" spans="1:29">
      <c r="A26" s="2138" t="s">
        <v>1208</v>
      </c>
      <c r="B26" s="1719" t="s">
        <v>1625</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1210</v>
      </c>
      <c r="Q26" s="1304" t="str">
        <f t="shared" si="11"/>
        <v>配套类型</v>
      </c>
      <c r="R26" s="1911" t="s">
        <v>1188</v>
      </c>
      <c r="S26" s="1912">
        <f t="shared" ref="S26:S36" si="12">F26</f>
        <v>0</v>
      </c>
      <c r="T26" s="1911" t="s">
        <v>1188</v>
      </c>
      <c r="U26" s="1912">
        <f t="shared" ref="U26:U36" si="13">H26</f>
        <v>0</v>
      </c>
      <c r="V26" s="1911" t="s">
        <v>1188</v>
      </c>
      <c r="W26" s="1912">
        <f t="shared" ref="W26:W36" si="14">J26</f>
        <v>0</v>
      </c>
      <c r="X26" s="1899"/>
      <c r="Y26" s="1874" t="s">
        <v>1210</v>
      </c>
      <c r="Z26" s="1886" t="str">
        <f t="shared" ref="Z26:Z36" si="15">Q26</f>
        <v>配套类型</v>
      </c>
      <c r="AA26" s="1886" t="e">
        <f t="shared" si="3"/>
        <v>#DIV/0!</v>
      </c>
      <c r="AB26" s="1886" t="e">
        <f t="shared" si="4"/>
        <v>#DIV/0!</v>
      </c>
      <c r="AC26" s="1886" t="e">
        <f t="shared" si="5"/>
        <v>#DIV/0!</v>
      </c>
    </row>
    <row r="27" s="1673" customFormat="1" ht="15.5" spans="1:29">
      <c r="A27" s="2140"/>
      <c r="B27" s="1723" t="s">
        <v>1626</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1188</v>
      </c>
      <c r="S27" s="1914">
        <f t="shared" si="12"/>
        <v>100</v>
      </c>
      <c r="T27" s="1913" t="s">
        <v>1188</v>
      </c>
      <c r="U27" s="1914">
        <f t="shared" si="13"/>
        <v>100</v>
      </c>
      <c r="V27" s="1913" t="s">
        <v>1188</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1213</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1188</v>
      </c>
      <c r="S28" s="1912">
        <f t="shared" si="12"/>
        <v>100</v>
      </c>
      <c r="T28" s="1911" t="s">
        <v>1188</v>
      </c>
      <c r="U28" s="1912">
        <f t="shared" si="13"/>
        <v>100</v>
      </c>
      <c r="V28" s="1911" t="s">
        <v>1188</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1627</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1188</v>
      </c>
      <c r="S29" s="1912" t="e">
        <f t="shared" si="12"/>
        <v>#N/A</v>
      </c>
      <c r="T29" s="1911" t="s">
        <v>1188</v>
      </c>
      <c r="U29" s="1912" t="e">
        <f t="shared" si="13"/>
        <v>#N/A</v>
      </c>
      <c r="V29" s="1911" t="s">
        <v>1188</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1628</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1188</v>
      </c>
      <c r="S30" s="1912">
        <f t="shared" si="12"/>
        <v>100</v>
      </c>
      <c r="T30" s="1911" t="s">
        <v>1188</v>
      </c>
      <c r="U30" s="1912">
        <f t="shared" si="13"/>
        <v>100</v>
      </c>
      <c r="V30" s="1911" t="s">
        <v>1188</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1629</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1188</v>
      </c>
      <c r="S31" s="1908" t="e">
        <f t="shared" si="12"/>
        <v>#N/A</v>
      </c>
      <c r="T31" s="1907" t="s">
        <v>1188</v>
      </c>
      <c r="U31" s="1908" t="e">
        <f t="shared" si="13"/>
        <v>#N/A</v>
      </c>
      <c r="V31" s="1907" t="s">
        <v>1188</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1630</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1210</v>
      </c>
      <c r="Q32" s="1304" t="str">
        <f t="shared" si="11"/>
        <v>车位类型</v>
      </c>
      <c r="R32" s="1911" t="s">
        <v>1188</v>
      </c>
      <c r="S32" s="1912">
        <f t="shared" si="12"/>
        <v>100</v>
      </c>
      <c r="T32" s="1911" t="s">
        <v>1188</v>
      </c>
      <c r="U32" s="1912">
        <f t="shared" si="13"/>
        <v>100</v>
      </c>
      <c r="V32" s="1911" t="s">
        <v>1188</v>
      </c>
      <c r="W32" s="1912">
        <f t="shared" si="14"/>
        <v>100</v>
      </c>
      <c r="X32" s="1899"/>
      <c r="Y32" s="1874" t="s">
        <v>1210</v>
      </c>
      <c r="Z32" s="1886" t="str">
        <f t="shared" si="15"/>
        <v>车位类型</v>
      </c>
      <c r="AA32" s="1886">
        <f t="shared" si="3"/>
        <v>1</v>
      </c>
      <c r="AB32" s="1886">
        <f t="shared" si="4"/>
        <v>1</v>
      </c>
      <c r="AC32" s="1886">
        <f t="shared" si="5"/>
        <v>1</v>
      </c>
    </row>
    <row r="33" ht="15.5" spans="1:29">
      <c r="A33" s="2142"/>
      <c r="B33" s="1723" t="s">
        <v>1631</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1188</v>
      </c>
      <c r="S33" s="1912">
        <f t="shared" si="12"/>
        <v>100</v>
      </c>
      <c r="T33" s="1911" t="s">
        <v>1188</v>
      </c>
      <c r="U33" s="1912">
        <f t="shared" si="13"/>
        <v>100</v>
      </c>
      <c r="V33" s="1911" t="s">
        <v>1188</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1188</v>
      </c>
      <c r="S34" s="1912">
        <f t="shared" si="12"/>
        <v>100</v>
      </c>
      <c r="T34" s="1911" t="s">
        <v>1188</v>
      </c>
      <c r="U34" s="1912">
        <f t="shared" si="13"/>
        <v>100</v>
      </c>
      <c r="V34" s="1911" t="s">
        <v>1188</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1188</v>
      </c>
      <c r="S35" s="1914">
        <f t="shared" si="12"/>
        <v>100</v>
      </c>
      <c r="T35" s="1913" t="s">
        <v>1188</v>
      </c>
      <c r="U35" s="1914">
        <f t="shared" si="13"/>
        <v>100</v>
      </c>
      <c r="V35" s="1913" t="s">
        <v>1188</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1188</v>
      </c>
      <c r="S36" s="1912">
        <f t="shared" si="12"/>
        <v>100</v>
      </c>
      <c r="T36" s="1911" t="s">
        <v>1188</v>
      </c>
      <c r="U36" s="1912">
        <f t="shared" si="13"/>
        <v>100</v>
      </c>
      <c r="V36" s="1911" t="s">
        <v>1188</v>
      </c>
      <c r="W36" s="1912">
        <f t="shared" si="14"/>
        <v>100</v>
      </c>
      <c r="X36" s="1899"/>
      <c r="Y36" s="1874"/>
      <c r="Z36" s="1886">
        <f t="shared" si="15"/>
        <v>111</v>
      </c>
      <c r="AA36" s="1886">
        <f t="shared" si="3"/>
        <v>1</v>
      </c>
      <c r="AB36" s="1886">
        <f t="shared" si="4"/>
        <v>1</v>
      </c>
      <c r="AC36" s="1886">
        <f t="shared" si="5"/>
        <v>1</v>
      </c>
    </row>
    <row r="37" spans="1:29">
      <c r="A37" s="1779" t="s">
        <v>1632</v>
      </c>
      <c r="B37" s="2145" t="s">
        <v>1633</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1222</v>
      </c>
      <c r="B38" s="2091" t="str">
        <f>B37</f>
        <v>元/平方米</v>
      </c>
      <c r="C38" s="2092" t="e">
        <f>R39</f>
        <v>#DIV/0!</v>
      </c>
      <c r="D38" s="1790" t="s">
        <v>1223</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1634</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1225</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1226</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1227</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1228</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1186</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1229</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1189</v>
      </c>
      <c r="B51" s="1935"/>
      <c r="C51" s="1936" t="s">
        <v>1230</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1231</v>
      </c>
      <c r="B53" s="1940" t="s">
        <v>1192</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1195</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1197</v>
      </c>
      <c r="B63" s="1940" t="s">
        <v>1200</v>
      </c>
      <c r="C63" s="1960" t="s">
        <v>1233</v>
      </c>
      <c r="D63" s="1960" t="s">
        <v>1234</v>
      </c>
      <c r="E63" s="1960" t="s">
        <v>1235</v>
      </c>
      <c r="F63" s="1960" t="s">
        <v>1236</v>
      </c>
      <c r="G63" s="1960" t="s">
        <v>1237</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1201</v>
      </c>
      <c r="C65" s="1961" t="s">
        <v>1233</v>
      </c>
      <c r="D65" s="1961" t="s">
        <v>1234</v>
      </c>
      <c r="E65" s="1961" t="s">
        <v>1235</v>
      </c>
      <c r="F65" s="1961" t="s">
        <v>1236</v>
      </c>
      <c r="G65" s="1961" t="s">
        <v>1237</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1202</v>
      </c>
      <c r="C67" s="1865" t="s">
        <v>1238</v>
      </c>
      <c r="D67" s="1865" t="s">
        <v>1239</v>
      </c>
      <c r="E67" s="1865" t="s">
        <v>1240</v>
      </c>
      <c r="F67" s="1865" t="s">
        <v>1241</v>
      </c>
      <c r="G67" s="1865" t="s">
        <v>1242</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1203</v>
      </c>
      <c r="C69" s="1961" t="s">
        <v>1233</v>
      </c>
      <c r="D69" s="1961" t="s">
        <v>1234</v>
      </c>
      <c r="E69" s="1961" t="s">
        <v>1235</v>
      </c>
      <c r="F69" s="1961" t="s">
        <v>1236</v>
      </c>
      <c r="G69" s="1961" t="s">
        <v>1237</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1207</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1208</v>
      </c>
      <c r="B79" s="1940" t="s">
        <v>1635</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1626</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1213</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1627</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1628</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1629</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1630</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1631</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1622</v>
      </c>
      <c r="B1" s="2059" t="s">
        <v>1636</v>
      </c>
      <c r="C1" s="2060" t="s">
        <v>1168</v>
      </c>
      <c r="D1" s="2061"/>
      <c r="E1" s="2062"/>
      <c r="F1" s="2063"/>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 ca="1">IF(C2="——",C37,ROUND(B2*10000/D3,0))</f>
        <v>#DIV/0!</v>
      </c>
      <c r="C3" s="2071" t="s">
        <v>1172</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1187</v>
      </c>
      <c r="Q7" s="1906"/>
      <c r="R7" s="1907" t="s">
        <v>1188</v>
      </c>
      <c r="S7" s="1908">
        <f t="shared" ref="S7:S14" si="0">F7</f>
        <v>0</v>
      </c>
      <c r="T7" s="1907" t="s">
        <v>1188</v>
      </c>
      <c r="U7" s="1908">
        <f t="shared" ref="U7:U14" si="1">H7</f>
        <v>0</v>
      </c>
      <c r="V7" s="1907" t="s">
        <v>1188</v>
      </c>
      <c r="W7" s="1908">
        <f t="shared" ref="W7:W14"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34" si="3">D8/F8</f>
        <v>1</v>
      </c>
      <c r="AB8" s="1923">
        <f t="shared" ref="AB8:AB34" si="4">D8/H8</f>
        <v>1</v>
      </c>
      <c r="AC8" s="1923">
        <f t="shared" ref="AC8:AC34" si="5">D8/J8</f>
        <v>1</v>
      </c>
    </row>
    <row r="9" s="1671" customFormat="1" spans="1:29">
      <c r="A9" s="1716" t="s">
        <v>1191</v>
      </c>
      <c r="B9" s="1717" t="s">
        <v>1192</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1193</v>
      </c>
      <c r="Q9" s="745" t="str">
        <f t="shared" ref="Q9:Q14" si="6">B9</f>
        <v>用途</v>
      </c>
      <c r="R9" s="1907" t="s">
        <v>1188</v>
      </c>
      <c r="S9" s="1908">
        <f t="shared" si="0"/>
        <v>100</v>
      </c>
      <c r="T9" s="1907" t="s">
        <v>1188</v>
      </c>
      <c r="U9" s="1908">
        <f t="shared" si="1"/>
        <v>100</v>
      </c>
      <c r="V9" s="1907" t="s">
        <v>1188</v>
      </c>
      <c r="W9" s="1908">
        <f t="shared" si="2"/>
        <v>100</v>
      </c>
      <c r="X9" s="1909"/>
      <c r="Y9" s="745" t="s">
        <v>1194</v>
      </c>
      <c r="Z9" s="1923" t="str">
        <f t="shared" ref="Z9:Z14" si="7">Q9</f>
        <v>用途</v>
      </c>
      <c r="AA9" s="1923">
        <f t="shared" si="3"/>
        <v>1</v>
      </c>
      <c r="AB9" s="1923">
        <f t="shared" si="4"/>
        <v>1</v>
      </c>
      <c r="AC9" s="1923">
        <f t="shared" si="5"/>
        <v>1</v>
      </c>
    </row>
    <row r="10" s="1672" customFormat="1" ht="28" spans="1:29">
      <c r="A10" s="1720"/>
      <c r="B10" s="1721" t="s">
        <v>1195</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1188</v>
      </c>
      <c r="S11" s="1908">
        <f t="shared" si="0"/>
        <v>100</v>
      </c>
      <c r="T11" s="1907" t="s">
        <v>1188</v>
      </c>
      <c r="U11" s="1908">
        <f t="shared" si="1"/>
        <v>100</v>
      </c>
      <c r="V11" s="1907" t="s">
        <v>1188</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98" spans="1:29">
      <c r="A14" s="1737" t="s">
        <v>1197</v>
      </c>
      <c r="B14" s="2031" t="s">
        <v>1200</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1199</v>
      </c>
      <c r="Q14" s="1304" t="str">
        <f t="shared" si="6"/>
        <v>交通便捷度</v>
      </c>
      <c r="R14" s="1911" t="s">
        <v>1188</v>
      </c>
      <c r="S14" s="1912">
        <f t="shared" si="0"/>
        <v>100</v>
      </c>
      <c r="T14" s="1911" t="s">
        <v>1188</v>
      </c>
      <c r="U14" s="1912">
        <f t="shared" si="1"/>
        <v>100</v>
      </c>
      <c r="V14" s="1911" t="s">
        <v>1188</v>
      </c>
      <c r="W14" s="1912">
        <f t="shared" si="2"/>
        <v>100</v>
      </c>
      <c r="X14" s="1899"/>
      <c r="Y14" s="1864" t="s">
        <v>1199</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1201</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1188</v>
      </c>
      <c r="S16" s="1912">
        <f>F16</f>
        <v>100</v>
      </c>
      <c r="T16" s="1911" t="s">
        <v>1188</v>
      </c>
      <c r="U16" s="1912">
        <f>H16</f>
        <v>100</v>
      </c>
      <c r="V16" s="1911" t="s">
        <v>1188</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1202</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1188</v>
      </c>
      <c r="S18" s="1912">
        <f>F18</f>
        <v>100</v>
      </c>
      <c r="T18" s="1911" t="s">
        <v>1188</v>
      </c>
      <c r="U18" s="1912">
        <f>H18</f>
        <v>100</v>
      </c>
      <c r="V18" s="1911" t="s">
        <v>1188</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1203</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1188</v>
      </c>
      <c r="S20" s="1912">
        <f>F20</f>
        <v>100</v>
      </c>
      <c r="T20" s="1911" t="s">
        <v>1188</v>
      </c>
      <c r="U20" s="1912">
        <f>H20</f>
        <v>100</v>
      </c>
      <c r="V20" s="1911" t="s">
        <v>1188</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1207</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1188</v>
      </c>
      <c r="S22" s="1912">
        <f>F22</f>
        <v>100</v>
      </c>
      <c r="T22" s="1911" t="s">
        <v>1188</v>
      </c>
      <c r="U22" s="1912">
        <f>H22</f>
        <v>100</v>
      </c>
      <c r="V22" s="1911" t="s">
        <v>1188</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1188</v>
      </c>
      <c r="S23" s="1912">
        <f>F23</f>
        <v>100</v>
      </c>
      <c r="T23" s="1911" t="s">
        <v>1188</v>
      </c>
      <c r="U23" s="1912">
        <f>H23</f>
        <v>100</v>
      </c>
      <c r="V23" s="1911" t="s">
        <v>1188</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1188</v>
      </c>
      <c r="S24" s="1912">
        <f>F24</f>
        <v>100</v>
      </c>
      <c r="T24" s="1911" t="s">
        <v>1188</v>
      </c>
      <c r="U24" s="1912">
        <f>H24</f>
        <v>100</v>
      </c>
      <c r="V24" s="1911" t="s">
        <v>1188</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1188</v>
      </c>
      <c r="S25" s="1908">
        <f>F25</f>
        <v>100</v>
      </c>
      <c r="T25" s="1907" t="s">
        <v>1188</v>
      </c>
      <c r="U25" s="1908">
        <f>H25</f>
        <v>100</v>
      </c>
      <c r="V25" s="1907" t="s">
        <v>1188</v>
      </c>
      <c r="W25" s="1908">
        <f>J25</f>
        <v>100</v>
      </c>
      <c r="X25" s="1909"/>
      <c r="Y25" s="1865"/>
      <c r="Z25" s="1923">
        <f>Q25</f>
        <v>111</v>
      </c>
      <c r="AA25" s="1886">
        <f t="shared" si="3"/>
        <v>1</v>
      </c>
      <c r="AB25" s="1886">
        <f t="shared" si="4"/>
        <v>1</v>
      </c>
      <c r="AC25" s="1886">
        <f t="shared" si="5"/>
        <v>1</v>
      </c>
    </row>
    <row r="26" ht="15.5" spans="1:29">
      <c r="A26" s="2080" t="s">
        <v>1208</v>
      </c>
      <c r="B26" s="1717" t="s">
        <v>1213</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1210</v>
      </c>
      <c r="Q26" s="1304" t="str">
        <f t="shared" si="11"/>
        <v>公共部分装修</v>
      </c>
      <c r="R26" s="1911" t="s">
        <v>1188</v>
      </c>
      <c r="S26" s="1912">
        <f t="shared" ref="S26:S34" si="12">F26</f>
        <v>100</v>
      </c>
      <c r="T26" s="1911" t="s">
        <v>1188</v>
      </c>
      <c r="U26" s="1912">
        <f t="shared" ref="U26:U34" si="13">H26</f>
        <v>100</v>
      </c>
      <c r="V26" s="1911" t="s">
        <v>1188</v>
      </c>
      <c r="W26" s="1912">
        <f t="shared" ref="W26:W34" si="14">J26</f>
        <v>100</v>
      </c>
      <c r="X26" s="1899"/>
      <c r="Y26" s="1874" t="s">
        <v>1210</v>
      </c>
      <c r="Z26" s="1886" t="str">
        <f t="shared" ref="Z26:Z34" si="15">Q26</f>
        <v>公共部分装修</v>
      </c>
      <c r="AA26" s="1886">
        <f t="shared" si="3"/>
        <v>1</v>
      </c>
      <c r="AB26" s="1886">
        <f t="shared" si="4"/>
        <v>1</v>
      </c>
      <c r="AC26" s="1886">
        <f t="shared" si="5"/>
        <v>1</v>
      </c>
    </row>
    <row r="27" s="1673" customFormat="1" ht="15.5" spans="1:29">
      <c r="A27" s="1777"/>
      <c r="B27" s="1721" t="s">
        <v>1627</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1188</v>
      </c>
      <c r="S27" s="1914" t="e">
        <f t="shared" si="12"/>
        <v>#N/A</v>
      </c>
      <c r="T27" s="1913" t="s">
        <v>1188</v>
      </c>
      <c r="U27" s="1914" t="e">
        <f t="shared" si="13"/>
        <v>#N/A</v>
      </c>
      <c r="V27" s="1913" t="s">
        <v>1188</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1628</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1188</v>
      </c>
      <c r="S28" s="1912">
        <f t="shared" si="12"/>
        <v>100</v>
      </c>
      <c r="T28" s="1911" t="s">
        <v>1188</v>
      </c>
      <c r="U28" s="1912">
        <f t="shared" si="13"/>
        <v>100</v>
      </c>
      <c r="V28" s="1911" t="s">
        <v>1188</v>
      </c>
      <c r="W28" s="1912">
        <f t="shared" si="14"/>
        <v>100</v>
      </c>
      <c r="X28" s="1899"/>
      <c r="Y28" s="1874"/>
      <c r="Z28" s="1886" t="str">
        <f t="shared" si="15"/>
        <v>物业等级</v>
      </c>
      <c r="AA28" s="1886">
        <f t="shared" si="3"/>
        <v>1</v>
      </c>
      <c r="AB28" s="1886">
        <f t="shared" si="4"/>
        <v>1</v>
      </c>
      <c r="AC28" s="1886">
        <f t="shared" si="5"/>
        <v>1</v>
      </c>
    </row>
    <row r="29" ht="15.5" spans="1:29">
      <c r="A29" s="1772"/>
      <c r="B29" s="1721" t="s">
        <v>1637</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1188</v>
      </c>
      <c r="S29" s="1912">
        <f t="shared" si="12"/>
        <v>100</v>
      </c>
      <c r="T29" s="1911" t="s">
        <v>1188</v>
      </c>
      <c r="U29" s="1912">
        <f t="shared" si="13"/>
        <v>100</v>
      </c>
      <c r="V29" s="1911" t="s">
        <v>1188</v>
      </c>
      <c r="W29" s="1912">
        <f t="shared" si="14"/>
        <v>100</v>
      </c>
      <c r="X29" s="1899"/>
      <c r="Y29" s="1874"/>
      <c r="Z29" s="1886" t="str">
        <f t="shared" si="15"/>
        <v>有无电梯</v>
      </c>
      <c r="AA29" s="1886">
        <f t="shared" si="3"/>
        <v>1</v>
      </c>
      <c r="AB29" s="1886">
        <f t="shared" si="4"/>
        <v>1</v>
      </c>
      <c r="AC29" s="1886">
        <f t="shared" si="5"/>
        <v>1</v>
      </c>
    </row>
    <row r="30" ht="15.5" spans="1:29">
      <c r="A30" s="1772"/>
      <c r="B30" s="1721" t="s">
        <v>621</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1188</v>
      </c>
      <c r="S30" s="1912" t="e">
        <f t="shared" si="12"/>
        <v>#N/A</v>
      </c>
      <c r="T30" s="1911" t="s">
        <v>1188</v>
      </c>
      <c r="U30" s="1912" t="e">
        <f t="shared" si="13"/>
        <v>#N/A</v>
      </c>
      <c r="V30" s="1911" t="s">
        <v>1188</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1638</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1188</v>
      </c>
      <c r="S31" s="1908">
        <f t="shared" si="12"/>
        <v>100</v>
      </c>
      <c r="T31" s="1907" t="s">
        <v>1188</v>
      </c>
      <c r="U31" s="1908">
        <f t="shared" si="13"/>
        <v>100</v>
      </c>
      <c r="V31" s="1907" t="s">
        <v>1188</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1210</v>
      </c>
      <c r="Q32" s="1304">
        <f t="shared" si="11"/>
        <v>111</v>
      </c>
      <c r="R32" s="1911" t="s">
        <v>1188</v>
      </c>
      <c r="S32" s="1912">
        <f t="shared" si="12"/>
        <v>100</v>
      </c>
      <c r="T32" s="1911" t="s">
        <v>1188</v>
      </c>
      <c r="U32" s="1912">
        <f t="shared" si="13"/>
        <v>100</v>
      </c>
      <c r="V32" s="1911" t="s">
        <v>1188</v>
      </c>
      <c r="W32" s="1912">
        <f t="shared" si="14"/>
        <v>100</v>
      </c>
      <c r="X32" s="1899"/>
      <c r="Y32" s="1874" t="s">
        <v>1210</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1188</v>
      </c>
      <c r="S33" s="1912">
        <f t="shared" si="12"/>
        <v>100</v>
      </c>
      <c r="T33" s="1911" t="s">
        <v>1188</v>
      </c>
      <c r="U33" s="1912">
        <f t="shared" si="13"/>
        <v>100</v>
      </c>
      <c r="V33" s="1911" t="s">
        <v>1188</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1188</v>
      </c>
      <c r="S34" s="1912">
        <f t="shared" si="12"/>
        <v>100</v>
      </c>
      <c r="T34" s="1911" t="s">
        <v>1188</v>
      </c>
      <c r="U34" s="1912">
        <f t="shared" si="13"/>
        <v>100</v>
      </c>
      <c r="V34" s="1911" t="s">
        <v>1188</v>
      </c>
      <c r="W34" s="1912">
        <f t="shared" si="14"/>
        <v>100</v>
      </c>
      <c r="X34" s="1899"/>
      <c r="Y34" s="1874"/>
      <c r="Z34" s="1886">
        <f t="shared" si="15"/>
        <v>111</v>
      </c>
      <c r="AA34" s="1886">
        <f t="shared" si="3"/>
        <v>1</v>
      </c>
      <c r="AB34" s="1886">
        <f t="shared" si="4"/>
        <v>1</v>
      </c>
      <c r="AC34" s="1886">
        <f t="shared" si="5"/>
        <v>1</v>
      </c>
    </row>
    <row r="35" spans="1:29">
      <c r="A35" s="1779" t="s">
        <v>1221</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1222</v>
      </c>
      <c r="B36" s="2091"/>
      <c r="C36" s="2092" t="e">
        <f>R37</f>
        <v>#DIV/0!</v>
      </c>
      <c r="D36" s="1790" t="s">
        <v>1223</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1224</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1225</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1226</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1227</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1228</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1186</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1229</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1189</v>
      </c>
      <c r="B49" s="1935"/>
      <c r="C49" s="1936" t="s">
        <v>1230</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1231</v>
      </c>
      <c r="B51" s="1940" t="s">
        <v>1192</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1195</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1197</v>
      </c>
      <c r="B61" s="1940" t="s">
        <v>1200</v>
      </c>
      <c r="C61" s="1960" t="s">
        <v>1233</v>
      </c>
      <c r="D61" s="1960" t="s">
        <v>1234</v>
      </c>
      <c r="E61" s="1960" t="s">
        <v>1235</v>
      </c>
      <c r="F61" s="1960" t="s">
        <v>1236</v>
      </c>
      <c r="G61" s="1960" t="s">
        <v>1237</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1639</v>
      </c>
      <c r="C63" s="1961" t="s">
        <v>1233</v>
      </c>
      <c r="D63" s="1961" t="s">
        <v>1234</v>
      </c>
      <c r="E63" s="1961" t="s">
        <v>1235</v>
      </c>
      <c r="F63" s="1961" t="s">
        <v>1236</v>
      </c>
      <c r="G63" s="1961" t="s">
        <v>1237</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1202</v>
      </c>
      <c r="C65" s="1865" t="s">
        <v>1238</v>
      </c>
      <c r="D65" s="1865" t="s">
        <v>1239</v>
      </c>
      <c r="E65" s="1865" t="s">
        <v>1240</v>
      </c>
      <c r="F65" s="1865" t="s">
        <v>1241</v>
      </c>
      <c r="G65" s="1865" t="s">
        <v>1242</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1203</v>
      </c>
      <c r="C67" s="1961" t="s">
        <v>1233</v>
      </c>
      <c r="D67" s="1961" t="s">
        <v>1234</v>
      </c>
      <c r="E67" s="1961" t="s">
        <v>1235</v>
      </c>
      <c r="F67" s="1961" t="s">
        <v>1236</v>
      </c>
      <c r="G67" s="1961" t="s">
        <v>1237</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1207</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1208</v>
      </c>
      <c r="B77" s="1940" t="s">
        <v>1213</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1627</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1628</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1637</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621</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1638</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1640</v>
      </c>
      <c r="B1" s="1681"/>
      <c r="C1" s="1682" t="s">
        <v>1641</v>
      </c>
      <c r="D1" s="1683"/>
      <c r="E1" s="1683"/>
      <c r="F1" s="1684" t="s">
        <v>1171</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1008</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ROUND(IF(D3="",B2*10000/'数据-汇总表'!E3,B2*10000/D3),0)</f>
        <v>#DIV/0!</v>
      </c>
      <c r="C3" s="654" t="s">
        <v>1172</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t="s">
        <v>1230</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1190</v>
      </c>
      <c r="Q8" s="1910"/>
      <c r="R8" s="1907" t="s">
        <v>1188</v>
      </c>
      <c r="S8" s="1908">
        <f t="shared" si="0"/>
        <v>0</v>
      </c>
      <c r="T8" s="1907" t="s">
        <v>1188</v>
      </c>
      <c r="U8" s="1908">
        <f t="shared" si="1"/>
        <v>0</v>
      </c>
      <c r="V8" s="1907" t="s">
        <v>1188</v>
      </c>
      <c r="W8" s="1908">
        <f t="shared" si="2"/>
        <v>0</v>
      </c>
      <c r="X8" s="1909"/>
      <c r="Y8" s="1853" t="s">
        <v>1190</v>
      </c>
      <c r="Z8" s="1910"/>
      <c r="AA8" s="1923" t="e">
        <f t="shared" ref="AA8:AA45" si="3">D8/F8</f>
        <v>#DIV/0!</v>
      </c>
      <c r="AB8" s="1923" t="e">
        <f t="shared" ref="AB8:AB45" si="4">D8/H8</f>
        <v>#DIV/0!</v>
      </c>
      <c r="AC8" s="1923" t="e">
        <f t="shared" ref="AC8:AC45" si="5">D8/J8</f>
        <v>#DIV/0!</v>
      </c>
    </row>
    <row r="9" s="1671" customFormat="1" spans="1:29">
      <c r="A9" s="1716" t="s">
        <v>1191</v>
      </c>
      <c r="B9" s="1717" t="s">
        <v>1192</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1722"/>
      <c r="D10" s="1723">
        <v>100</v>
      </c>
      <c r="E10" s="2029"/>
      <c r="F10" s="1723">
        <f>ROUND(100/'数据-取费表'!G16,0)</f>
        <v>133</v>
      </c>
      <c r="G10" s="2030"/>
      <c r="H10" s="1723">
        <f>ROUND(100/'数据-取费表'!G16,0)</f>
        <v>133</v>
      </c>
      <c r="I10" s="2030"/>
      <c r="J10" s="1723">
        <f>ROUND(100/'数据-取费表'!G16,0)</f>
        <v>133</v>
      </c>
      <c r="K10" s="1855"/>
      <c r="L10" s="1856"/>
      <c r="M10" s="1857"/>
      <c r="N10" s="1857"/>
      <c r="O10" s="1858"/>
      <c r="P10" s="1304"/>
      <c r="Q10" s="745" t="str">
        <f t="shared" si="6"/>
        <v>土地使用年限（年）</v>
      </c>
      <c r="R10" s="1907" t="s">
        <v>1188</v>
      </c>
      <c r="S10" s="1908">
        <f t="shared" si="0"/>
        <v>133</v>
      </c>
      <c r="T10" s="1907" t="s">
        <v>1188</v>
      </c>
      <c r="U10" s="1908">
        <f t="shared" si="1"/>
        <v>133</v>
      </c>
      <c r="V10" s="1907" t="s">
        <v>1188</v>
      </c>
      <c r="W10" s="1908">
        <f t="shared" si="2"/>
        <v>133</v>
      </c>
      <c r="X10" s="1909"/>
      <c r="Y10" s="745"/>
      <c r="Z10" s="1923" t="str">
        <f t="shared" si="7"/>
        <v>土地使用年限（年）</v>
      </c>
      <c r="AA10" s="1923">
        <f t="shared" si="3"/>
        <v>0.75187969924812</v>
      </c>
      <c r="AB10" s="1923">
        <f t="shared" si="4"/>
        <v>0.75187969924812</v>
      </c>
      <c r="AC10" s="1923">
        <f t="shared" si="5"/>
        <v>0.75187969924812</v>
      </c>
    </row>
    <row r="11" ht="15.5" spans="1:29">
      <c r="A11" s="1724"/>
      <c r="B11" s="1721" t="s">
        <v>1196</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1642</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1188</v>
      </c>
      <c r="S12" s="1908">
        <f t="shared" si="0"/>
        <v>100</v>
      </c>
      <c r="T12" s="1907" t="s">
        <v>1188</v>
      </c>
      <c r="U12" s="1908">
        <f t="shared" si="1"/>
        <v>100</v>
      </c>
      <c r="V12" s="1907" t="s">
        <v>1188</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98" spans="1:29">
      <c r="A15" s="1737" t="s">
        <v>1197</v>
      </c>
      <c r="B15" s="2031" t="s">
        <v>1232</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1199</v>
      </c>
      <c r="Q15" s="1304" t="str">
        <f t="shared" si="6"/>
        <v>居住社区成熟度</v>
      </c>
      <c r="R15" s="1911" t="s">
        <v>1188</v>
      </c>
      <c r="S15" s="1912">
        <f t="shared" si="0"/>
        <v>100</v>
      </c>
      <c r="T15" s="1911" t="s">
        <v>1188</v>
      </c>
      <c r="U15" s="1912">
        <f t="shared" si="1"/>
        <v>100</v>
      </c>
      <c r="V15" s="1911" t="s">
        <v>1188</v>
      </c>
      <c r="W15" s="1912">
        <f t="shared" si="2"/>
        <v>100</v>
      </c>
      <c r="X15" s="1899"/>
      <c r="Y15" s="1864" t="s">
        <v>1199</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1198</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1188</v>
      </c>
      <c r="S17" s="1912">
        <f>F17</f>
        <v>100</v>
      </c>
      <c r="T17" s="1911" t="s">
        <v>1188</v>
      </c>
      <c r="U17" s="1912">
        <f>H17</f>
        <v>100</v>
      </c>
      <c r="V17" s="1911" t="s">
        <v>1188</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1248</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1188</v>
      </c>
      <c r="S19" s="1912">
        <f>F19</f>
        <v>100</v>
      </c>
      <c r="T19" s="1911" t="s">
        <v>1188</v>
      </c>
      <c r="U19" s="1912">
        <f>H19</f>
        <v>100</v>
      </c>
      <c r="V19" s="1911" t="s">
        <v>1188</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1200</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1188</v>
      </c>
      <c r="S21" s="1912">
        <f>F21</f>
        <v>100</v>
      </c>
      <c r="T21" s="1911" t="s">
        <v>1188</v>
      </c>
      <c r="U21" s="1912">
        <f>H21</f>
        <v>100</v>
      </c>
      <c r="V21" s="1911" t="s">
        <v>1188</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1643</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1188</v>
      </c>
      <c r="S23" s="1912">
        <f>F23</f>
        <v>100</v>
      </c>
      <c r="T23" s="1911" t="s">
        <v>1188</v>
      </c>
      <c r="U23" s="1912">
        <f>H23</f>
        <v>100</v>
      </c>
      <c r="V23" s="1911" t="s">
        <v>1188</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1644</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1188</v>
      </c>
      <c r="S25" s="1912">
        <f>F25</f>
        <v>100</v>
      </c>
      <c r="T25" s="1911" t="s">
        <v>1188</v>
      </c>
      <c r="U25" s="1912">
        <f>H25</f>
        <v>100</v>
      </c>
      <c r="V25" s="1911" t="s">
        <v>1188</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1201</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1188</v>
      </c>
      <c r="S27" s="1908">
        <f>F27</f>
        <v>100</v>
      </c>
      <c r="T27" s="1907" t="s">
        <v>1188</v>
      </c>
      <c r="U27" s="1908">
        <f>H27</f>
        <v>100</v>
      </c>
      <c r="V27" s="1907" t="s">
        <v>1188</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1202</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1188</v>
      </c>
      <c r="S29" s="1908">
        <f>F29</f>
        <v>100</v>
      </c>
      <c r="T29" s="1907" t="s">
        <v>1188</v>
      </c>
      <c r="U29" s="1908">
        <f>H29</f>
        <v>100</v>
      </c>
      <c r="V29" s="1907" t="s">
        <v>1188</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1204</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1188</v>
      </c>
      <c r="S31" s="1912">
        <f t="shared" ref="S31:S45" si="10">F31</f>
        <v>100</v>
      </c>
      <c r="T31" s="1911" t="s">
        <v>1188</v>
      </c>
      <c r="U31" s="1912">
        <f t="shared" ref="U31:U45" si="11">H31</f>
        <v>100</v>
      </c>
      <c r="V31" s="1911" t="s">
        <v>1188</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1250</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1188</v>
      </c>
      <c r="S32" s="1912">
        <f t="shared" si="10"/>
        <v>100</v>
      </c>
      <c r="T32" s="1911" t="s">
        <v>1188</v>
      </c>
      <c r="U32" s="1912">
        <f t="shared" si="11"/>
        <v>100</v>
      </c>
      <c r="V32" s="1911" t="s">
        <v>1188</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1645</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1188</v>
      </c>
      <c r="S34" s="1912">
        <f t="shared" si="10"/>
        <v>100</v>
      </c>
      <c r="T34" s="1911" t="s">
        <v>1188</v>
      </c>
      <c r="U34" s="1912">
        <f t="shared" si="11"/>
        <v>100</v>
      </c>
      <c r="V34" s="1911" t="s">
        <v>1188</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1188</v>
      </c>
      <c r="S35" s="1912">
        <f t="shared" si="10"/>
        <v>100</v>
      </c>
      <c r="T35" s="1911" t="s">
        <v>1188</v>
      </c>
      <c r="U35" s="1912">
        <f t="shared" si="11"/>
        <v>100</v>
      </c>
      <c r="V35" s="1911" t="s">
        <v>1188</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1210</v>
      </c>
      <c r="Q36" s="1304">
        <f t="shared" si="8"/>
        <v>111</v>
      </c>
      <c r="R36" s="1911" t="s">
        <v>1188</v>
      </c>
      <c r="S36" s="1912">
        <f t="shared" si="10"/>
        <v>100</v>
      </c>
      <c r="T36" s="1911" t="s">
        <v>1188</v>
      </c>
      <c r="U36" s="1912">
        <f t="shared" si="11"/>
        <v>100</v>
      </c>
      <c r="V36" s="1911" t="s">
        <v>1188</v>
      </c>
      <c r="W36" s="1912">
        <f t="shared" si="12"/>
        <v>100</v>
      </c>
      <c r="X36" s="1899"/>
      <c r="Y36" s="1874" t="s">
        <v>1210</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1188</v>
      </c>
      <c r="S37" s="1914">
        <f t="shared" si="10"/>
        <v>100</v>
      </c>
      <c r="T37" s="1913" t="s">
        <v>1188</v>
      </c>
      <c r="U37" s="1914">
        <f t="shared" si="11"/>
        <v>100</v>
      </c>
      <c r="V37" s="1913" t="s">
        <v>1188</v>
      </c>
      <c r="W37" s="1914">
        <f t="shared" si="12"/>
        <v>100</v>
      </c>
      <c r="X37" s="1915"/>
      <c r="Y37" s="1874"/>
      <c r="Z37" s="1924">
        <f t="shared" si="13"/>
        <v>111</v>
      </c>
      <c r="AA37" s="1886">
        <f t="shared" si="3"/>
        <v>1</v>
      </c>
      <c r="AB37" s="1886">
        <f t="shared" si="4"/>
        <v>1</v>
      </c>
      <c r="AC37" s="1886">
        <f t="shared" si="5"/>
        <v>1</v>
      </c>
    </row>
    <row r="38" ht="15.5" spans="1:29">
      <c r="A38" s="1772" t="s">
        <v>1208</v>
      </c>
      <c r="B38" s="1770" t="s">
        <v>1646</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1188</v>
      </c>
      <c r="S38" s="1912" t="e">
        <f t="shared" si="10"/>
        <v>#N/A</v>
      </c>
      <c r="T38" s="1911" t="s">
        <v>1188</v>
      </c>
      <c r="U38" s="1912" t="e">
        <f t="shared" si="11"/>
        <v>#N/A</v>
      </c>
      <c r="V38" s="1911" t="s">
        <v>1188</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1647</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1188</v>
      </c>
      <c r="S39" s="1912">
        <f t="shared" si="10"/>
        <v>100</v>
      </c>
      <c r="T39" s="1911" t="s">
        <v>1188</v>
      </c>
      <c r="U39" s="1912">
        <f t="shared" si="11"/>
        <v>100</v>
      </c>
      <c r="V39" s="1911" t="s">
        <v>1188</v>
      </c>
      <c r="W39" s="1912">
        <f t="shared" si="12"/>
        <v>100</v>
      </c>
      <c r="X39" s="1899"/>
      <c r="Y39" s="1874"/>
      <c r="Z39" s="1886" t="str">
        <f t="shared" si="13"/>
        <v>宗地形状</v>
      </c>
      <c r="AA39" s="1886">
        <f t="shared" si="3"/>
        <v>1</v>
      </c>
      <c r="AB39" s="1886">
        <f t="shared" si="4"/>
        <v>1</v>
      </c>
      <c r="AC39" s="1886">
        <f t="shared" si="5"/>
        <v>1</v>
      </c>
    </row>
    <row r="40" ht="15.5" spans="1:29">
      <c r="A40" s="1772"/>
      <c r="B40" s="1721" t="s">
        <v>1648</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1188</v>
      </c>
      <c r="S40" s="1912">
        <f t="shared" si="10"/>
        <v>100</v>
      </c>
      <c r="T40" s="1911" t="s">
        <v>1188</v>
      </c>
      <c r="U40" s="1912">
        <f t="shared" si="11"/>
        <v>100</v>
      </c>
      <c r="V40" s="1911" t="s">
        <v>1188</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1649</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1188</v>
      </c>
      <c r="S41" s="1908">
        <f t="shared" si="10"/>
        <v>100</v>
      </c>
      <c r="T41" s="1907" t="s">
        <v>1188</v>
      </c>
      <c r="U41" s="1908">
        <f t="shared" si="11"/>
        <v>100</v>
      </c>
      <c r="V41" s="1907" t="s">
        <v>1188</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1650</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1210</v>
      </c>
      <c r="Q42" s="1304" t="str">
        <f t="shared" si="14"/>
        <v>工程地质条件</v>
      </c>
      <c r="R42" s="1911" t="s">
        <v>1188</v>
      </c>
      <c r="S42" s="1912">
        <f t="shared" si="10"/>
        <v>100</v>
      </c>
      <c r="T42" s="1911" t="s">
        <v>1188</v>
      </c>
      <c r="U42" s="1912">
        <f t="shared" si="11"/>
        <v>100</v>
      </c>
      <c r="V42" s="1911" t="s">
        <v>1188</v>
      </c>
      <c r="W42" s="1912">
        <f t="shared" si="12"/>
        <v>100</v>
      </c>
      <c r="X42" s="1899"/>
      <c r="Y42" s="1874" t="s">
        <v>1210</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1188</v>
      </c>
      <c r="S43" s="1912">
        <f t="shared" si="10"/>
        <v>100</v>
      </c>
      <c r="T43" s="1911" t="s">
        <v>1188</v>
      </c>
      <c r="U43" s="1912">
        <f t="shared" si="11"/>
        <v>100</v>
      </c>
      <c r="V43" s="1911" t="s">
        <v>1188</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1188</v>
      </c>
      <c r="S44" s="1912">
        <f t="shared" si="10"/>
        <v>100</v>
      </c>
      <c r="T44" s="1911" t="s">
        <v>1188</v>
      </c>
      <c r="U44" s="1912">
        <f t="shared" si="11"/>
        <v>100</v>
      </c>
      <c r="V44" s="1911" t="s">
        <v>1188</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1188</v>
      </c>
      <c r="S45" s="1914">
        <f t="shared" si="10"/>
        <v>100</v>
      </c>
      <c r="T45" s="1913" t="s">
        <v>1188</v>
      </c>
      <c r="U45" s="1914">
        <f t="shared" si="11"/>
        <v>100</v>
      </c>
      <c r="V45" s="1913" t="s">
        <v>1188</v>
      </c>
      <c r="W45" s="1914">
        <f t="shared" si="12"/>
        <v>100</v>
      </c>
      <c r="X45" s="1915"/>
      <c r="Y45" s="1874"/>
      <c r="Z45" s="1924">
        <f t="shared" si="13"/>
        <v>111</v>
      </c>
      <c r="AA45" s="1886">
        <f t="shared" si="3"/>
        <v>1</v>
      </c>
      <c r="AB45" s="1886">
        <f t="shared" si="4"/>
        <v>1</v>
      </c>
      <c r="AC45" s="1886">
        <f t="shared" si="5"/>
        <v>1</v>
      </c>
    </row>
    <row r="46" spans="1:29">
      <c r="A46" s="1779" t="s">
        <v>1632</v>
      </c>
      <c r="B46" s="1780" t="s">
        <v>1651</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1222</v>
      </c>
      <c r="B47" s="1788"/>
      <c r="C47" s="1789" t="e">
        <f>R48</f>
        <v>#DIV/0!</v>
      </c>
      <c r="D47" s="1790" t="s">
        <v>1223</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1652</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1225</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1226</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1227</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1653</v>
      </c>
      <c r="B55" s="1806" t="s">
        <v>1654</v>
      </c>
      <c r="C55" s="1807" t="s">
        <v>1655</v>
      </c>
      <c r="D55" s="1808" t="s">
        <v>1656</v>
      </c>
      <c r="E55" s="1809" t="s">
        <v>1657</v>
      </c>
      <c r="F55" s="2040" t="s">
        <v>1658</v>
      </c>
      <c r="G55" s="1692" t="s">
        <v>1659</v>
      </c>
      <c r="H55" s="1300"/>
      <c r="I55" s="762" t="s">
        <v>1660</v>
      </c>
      <c r="J55" s="2044">
        <f>项目基本情况!F35</f>
        <v>0</v>
      </c>
      <c r="K55" s="1887" t="s">
        <v>1661</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1662</v>
      </c>
      <c r="B56" s="1812" t="e">
        <f>C48</f>
        <v>#DIV/0!</v>
      </c>
      <c r="C56" s="602">
        <v>1</v>
      </c>
      <c r="D56" s="1813">
        <v>1</v>
      </c>
      <c r="E56" s="602">
        <f>'数据-汇总表'!E8+'数据-汇总表'!E9</f>
        <v>1144.97</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1663</v>
      </c>
      <c r="B57" s="668" t="e">
        <f>ROUND($C$48*C57*D57,0)</f>
        <v>#DIV/0!</v>
      </c>
      <c r="C57" s="1193">
        <f t="shared" ref="C57:C64" si="16">IF($C$55="北京市系数",I57,J57)</f>
        <v>0.5</v>
      </c>
      <c r="D57" s="1817">
        <v>0.25</v>
      </c>
      <c r="E57" s="1818"/>
      <c r="F57" s="2041" t="e">
        <f t="shared" si="15"/>
        <v>#DIV/0!</v>
      </c>
      <c r="G57" s="1819" t="s">
        <v>1664</v>
      </c>
      <c r="H57" s="1820" t="str">
        <f>项目基本情况!B37</f>
        <v>八级</v>
      </c>
      <c r="I57" s="2045">
        <f>SUMIF(修正!A57:A68,H57,修正!B57:B68)</f>
        <v>0.5</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1665</v>
      </c>
      <c r="B58" s="668" t="e">
        <f t="shared" ref="B58:B64" si="17">ROUND($C$48*C58*D58,0)</f>
        <v>#DIV/0!</v>
      </c>
      <c r="C58" s="1193">
        <f t="shared" si="16"/>
        <v>0.2</v>
      </c>
      <c r="D58" s="1817">
        <v>0.25</v>
      </c>
      <c r="E58" s="1818"/>
      <c r="F58" s="2041" t="e">
        <f t="shared" si="15"/>
        <v>#DIV/0!</v>
      </c>
      <c r="G58" s="1821"/>
      <c r="H58" s="1820" t="str">
        <f>项目基本情况!B37</f>
        <v>八级</v>
      </c>
      <c r="I58" s="2045">
        <f>SUMIF(修正!A57:A68,H58,修正!C57:C68)</f>
        <v>0.2</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1666</v>
      </c>
      <c r="B59" s="668" t="e">
        <f t="shared" si="17"/>
        <v>#DIV/0!</v>
      </c>
      <c r="C59" s="1193">
        <f t="shared" si="16"/>
        <v>0.2</v>
      </c>
      <c r="D59" s="1817">
        <v>0.25</v>
      </c>
      <c r="E59" s="1818"/>
      <c r="F59" s="2041" t="e">
        <f t="shared" si="15"/>
        <v>#DIV/0!</v>
      </c>
      <c r="G59" s="1821"/>
      <c r="H59" s="1820" t="str">
        <f>项目基本情况!B37</f>
        <v>八级</v>
      </c>
      <c r="I59" s="2045">
        <f>SUMIF(修正!A57:A68,H59,修正!D57:D68)</f>
        <v>0.2</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1667</v>
      </c>
      <c r="B60" s="668" t="e">
        <f t="shared" si="17"/>
        <v>#DIV/0!</v>
      </c>
      <c r="C60" s="1193">
        <f t="shared" si="16"/>
        <v>0</v>
      </c>
      <c r="D60" s="1817">
        <v>0.25</v>
      </c>
      <c r="E60" s="667">
        <f>'数据-汇总表'!E11</f>
        <v>0</v>
      </c>
      <c r="F60" s="2041" t="e">
        <f t="shared" si="15"/>
        <v>#DIV/0!</v>
      </c>
      <c r="G60" s="1823" t="s">
        <v>1668</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1669</v>
      </c>
      <c r="B61" s="668" t="e">
        <f t="shared" si="17"/>
        <v>#DIV/0!</v>
      </c>
      <c r="C61" s="1193">
        <f t="shared" si="16"/>
        <v>0</v>
      </c>
      <c r="D61" s="1817">
        <v>0.25</v>
      </c>
      <c r="E61" s="667">
        <f>'数据-汇总表'!E12</f>
        <v>0</v>
      </c>
      <c r="F61" s="2041" t="e">
        <f t="shared" si="15"/>
        <v>#DIV/0!</v>
      </c>
      <c r="G61" s="1824" t="s">
        <v>1670</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1671</v>
      </c>
      <c r="B62" s="668" t="e">
        <f t="shared" si="17"/>
        <v>#DIV/0!</v>
      </c>
      <c r="C62" s="1193">
        <f t="shared" si="16"/>
        <v>0</v>
      </c>
      <c r="D62" s="1817">
        <v>0.25</v>
      </c>
      <c r="E62" s="667">
        <f>'数据-汇总表'!E13</f>
        <v>0</v>
      </c>
      <c r="F62" s="2041" t="e">
        <f t="shared" si="15"/>
        <v>#DIV/0!</v>
      </c>
      <c r="G62" s="1824" t="s">
        <v>1672</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1673</v>
      </c>
      <c r="B63" s="668" t="e">
        <f t="shared" si="17"/>
        <v>#DIV/0!</v>
      </c>
      <c r="C63" s="1193">
        <f t="shared" si="16"/>
        <v>0.1</v>
      </c>
      <c r="D63" s="1817">
        <v>0.25</v>
      </c>
      <c r="E63" s="667">
        <f>'数据-汇总表'!E14</f>
        <v>0</v>
      </c>
      <c r="F63" s="2041" t="e">
        <f t="shared" si="15"/>
        <v>#DIV/0!</v>
      </c>
      <c r="G63" s="1823" t="s">
        <v>1664</v>
      </c>
      <c r="H63" s="1820" t="str">
        <f>项目基本情况!B37</f>
        <v>八级</v>
      </c>
      <c r="I63" s="2045">
        <f>SUMIF(修正!A57:A68,H63,修正!G57:G68)</f>
        <v>0.1</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1674</v>
      </c>
      <c r="B64" s="668" t="e">
        <f t="shared" si="17"/>
        <v>#DIV/0!</v>
      </c>
      <c r="C64" s="1193">
        <f t="shared" si="16"/>
        <v>0</v>
      </c>
      <c r="D64" s="1817">
        <v>0.25</v>
      </c>
      <c r="E64" s="667">
        <f>'数据-汇总表'!E15</f>
        <v>0</v>
      </c>
      <c r="F64" s="2041" t="e">
        <f t="shared" si="15"/>
        <v>#DIV/0!</v>
      </c>
      <c r="G64" s="1825" t="s">
        <v>1668</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1675</v>
      </c>
      <c r="B65" s="1828" t="s">
        <v>1676</v>
      </c>
      <c r="C65" s="1828" t="s">
        <v>1676</v>
      </c>
      <c r="D65" s="1828" t="s">
        <v>1676</v>
      </c>
      <c r="E65" s="1828">
        <f>IF(B46="楼面地价",SUM(E56:E64),'数据-汇总表'!D3)</f>
        <v>1144.97</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1228</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1677</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1678</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1229</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1189</v>
      </c>
      <c r="B72" s="1935"/>
      <c r="C72" s="1936" t="s">
        <v>1230</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1231</v>
      </c>
      <c r="B74" s="1940" t="s">
        <v>1192</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1195</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1196</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1197</v>
      </c>
      <c r="B87" s="1940" t="s">
        <v>1232</v>
      </c>
      <c r="C87" s="1960" t="s">
        <v>1233</v>
      </c>
      <c r="D87" s="1960" t="s">
        <v>1234</v>
      </c>
      <c r="E87" s="1960" t="s">
        <v>1235</v>
      </c>
      <c r="F87" s="1960" t="s">
        <v>1236</v>
      </c>
      <c r="G87" s="1960" t="s">
        <v>1237</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1198</v>
      </c>
      <c r="C89" s="1961" t="s">
        <v>1233</v>
      </c>
      <c r="D89" s="1961" t="s">
        <v>1234</v>
      </c>
      <c r="E89" s="1961" t="s">
        <v>1235</v>
      </c>
      <c r="F89" s="1961" t="s">
        <v>1236</v>
      </c>
      <c r="G89" s="1961" t="s">
        <v>1237</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1248</v>
      </c>
      <c r="C91" s="1961" t="s">
        <v>1233</v>
      </c>
      <c r="D91" s="1961" t="s">
        <v>1234</v>
      </c>
      <c r="E91" s="1961" t="s">
        <v>1235</v>
      </c>
      <c r="F91" s="1961" t="s">
        <v>1236</v>
      </c>
      <c r="G91" s="1961" t="s">
        <v>1237</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1200</v>
      </c>
      <c r="C93" s="1961" t="s">
        <v>1233</v>
      </c>
      <c r="D93" s="1961" t="s">
        <v>1234</v>
      </c>
      <c r="E93" s="1961" t="s">
        <v>1235</v>
      </c>
      <c r="F93" s="1961" t="s">
        <v>1236</v>
      </c>
      <c r="G93" s="1961" t="s">
        <v>1237</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1643</v>
      </c>
      <c r="C95" s="1961" t="s">
        <v>1233</v>
      </c>
      <c r="D95" s="1961" t="s">
        <v>1234</v>
      </c>
      <c r="E95" s="1961" t="s">
        <v>1235</v>
      </c>
      <c r="F95" s="1961" t="s">
        <v>1236</v>
      </c>
      <c r="G95" s="1961" t="s">
        <v>1237</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1644</v>
      </c>
      <c r="C97" s="1960" t="s">
        <v>1233</v>
      </c>
      <c r="D97" s="1960" t="s">
        <v>1234</v>
      </c>
      <c r="E97" s="1960" t="s">
        <v>1235</v>
      </c>
      <c r="F97" s="1960" t="s">
        <v>1236</v>
      </c>
      <c r="G97" s="1960" t="s">
        <v>1237</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1201</v>
      </c>
      <c r="C99" s="1960" t="s">
        <v>1233</v>
      </c>
      <c r="D99" s="1960" t="s">
        <v>1234</v>
      </c>
      <c r="E99" s="1960" t="s">
        <v>1235</v>
      </c>
      <c r="F99" s="1960" t="s">
        <v>1236</v>
      </c>
      <c r="G99" s="1960" t="s">
        <v>1237</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1202</v>
      </c>
      <c r="C101" s="1865" t="s">
        <v>1238</v>
      </c>
      <c r="D101" s="1865" t="s">
        <v>1239</v>
      </c>
      <c r="E101" s="1865" t="s">
        <v>1240</v>
      </c>
      <c r="F101" s="1865" t="s">
        <v>1241</v>
      </c>
      <c r="G101" s="1865" t="s">
        <v>1242</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1679</v>
      </c>
      <c r="D103" s="1944" t="s">
        <v>1680</v>
      </c>
      <c r="E103" s="1944" t="s">
        <v>1681</v>
      </c>
      <c r="F103" s="1944" t="s">
        <v>1682</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1250</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1645</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1208</v>
      </c>
      <c r="B115" s="1940" t="s">
        <v>1646</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1647</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1648</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1649</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1650</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1640</v>
      </c>
      <c r="B1" s="1681"/>
      <c r="C1" s="1682" t="s">
        <v>1618</v>
      </c>
      <c r="D1" s="1683"/>
      <c r="E1" s="1683"/>
      <c r="F1" s="1684" t="s">
        <v>1171</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1008</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ROUND(IF(D3="",B2*10000/'数据-汇总表'!E3,B2*10000/D3),0)</f>
        <v>#DIV/0!</v>
      </c>
      <c r="C3" s="654" t="s">
        <v>1172</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1683</v>
      </c>
      <c r="D6" s="1705"/>
      <c r="E6" s="1706" t="s">
        <v>1683</v>
      </c>
      <c r="F6" s="1707"/>
      <c r="G6" s="1704" t="s">
        <v>1683</v>
      </c>
      <c r="H6" s="1705"/>
      <c r="I6" s="1704" t="s">
        <v>1683</v>
      </c>
      <c r="J6" s="1705"/>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t="s">
        <v>1230</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1190</v>
      </c>
      <c r="Q8" s="1910"/>
      <c r="R8" s="1907" t="s">
        <v>1188</v>
      </c>
      <c r="S8" s="1908">
        <f t="shared" si="0"/>
        <v>0</v>
      </c>
      <c r="T8" s="1907" t="s">
        <v>1188</v>
      </c>
      <c r="U8" s="1908">
        <f t="shared" si="1"/>
        <v>0</v>
      </c>
      <c r="V8" s="1907" t="s">
        <v>1188</v>
      </c>
      <c r="W8" s="1908">
        <f t="shared" si="2"/>
        <v>0</v>
      </c>
      <c r="X8" s="1909"/>
      <c r="Y8" s="1853" t="s">
        <v>1190</v>
      </c>
      <c r="Z8" s="1910"/>
      <c r="AA8" s="1923" t="e">
        <f t="shared" ref="AA8:AA40" si="3">D8/F8</f>
        <v>#DIV/0!</v>
      </c>
      <c r="AB8" s="1923" t="e">
        <f t="shared" ref="AB8:AB40" si="4">D8/H8</f>
        <v>#DIV/0!</v>
      </c>
      <c r="AC8" s="1923" t="e">
        <f t="shared" ref="AC8:AC40" si="5">D8/J8</f>
        <v>#DIV/0!</v>
      </c>
    </row>
    <row r="9" s="1671" customFormat="1" spans="1:29">
      <c r="A9" s="1716" t="s">
        <v>1191</v>
      </c>
      <c r="B9" s="1717" t="s">
        <v>1192</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1722"/>
      <c r="D10" s="1723">
        <v>100</v>
      </c>
      <c r="E10" s="1722"/>
      <c r="F10" s="1723">
        <f>ROUND(100/'数据-取费表'!G16,0)</f>
        <v>133</v>
      </c>
      <c r="G10" s="1722"/>
      <c r="H10" s="1723">
        <f>ROUND(100/'数据-取费表'!G16,0)</f>
        <v>133</v>
      </c>
      <c r="I10" s="1722"/>
      <c r="J10" s="1723">
        <f>ROUND(100/'数据-取费表'!G16,0)</f>
        <v>133</v>
      </c>
      <c r="K10" s="1855"/>
      <c r="L10" s="1856"/>
      <c r="M10" s="1857"/>
      <c r="N10" s="1857"/>
      <c r="O10" s="1858"/>
      <c r="P10" s="1304"/>
      <c r="Q10" s="745" t="str">
        <f t="shared" si="6"/>
        <v>土地使用年限（年）</v>
      </c>
      <c r="R10" s="1907" t="s">
        <v>1188</v>
      </c>
      <c r="S10" s="1908">
        <f t="shared" si="0"/>
        <v>133</v>
      </c>
      <c r="T10" s="1907" t="s">
        <v>1188</v>
      </c>
      <c r="U10" s="1908">
        <f t="shared" si="1"/>
        <v>133</v>
      </c>
      <c r="V10" s="1907" t="s">
        <v>1188</v>
      </c>
      <c r="W10" s="1908">
        <f t="shared" si="2"/>
        <v>133</v>
      </c>
      <c r="X10" s="1909"/>
      <c r="Y10" s="745"/>
      <c r="Z10" s="1923" t="str">
        <f t="shared" si="7"/>
        <v>土地使用年限（年）</v>
      </c>
      <c r="AA10" s="1923">
        <f t="shared" si="3"/>
        <v>0.75187969924812</v>
      </c>
      <c r="AB10" s="1923">
        <f t="shared" si="4"/>
        <v>0.75187969924812</v>
      </c>
      <c r="AC10" s="1923">
        <f t="shared" si="5"/>
        <v>0.75187969924812</v>
      </c>
    </row>
    <row r="11" ht="15.5" spans="1:29">
      <c r="A11" s="1724"/>
      <c r="B11" s="1721" t="s">
        <v>1196</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1738" t="s">
        <v>1619</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1199</v>
      </c>
      <c r="Q15" s="1304" t="str">
        <f t="shared" si="6"/>
        <v>产业集聚程度</v>
      </c>
      <c r="R15" s="1911" t="s">
        <v>1188</v>
      </c>
      <c r="S15" s="1912">
        <f t="shared" si="0"/>
        <v>100</v>
      </c>
      <c r="T15" s="1911" t="s">
        <v>1188</v>
      </c>
      <c r="U15" s="1912">
        <f t="shared" si="1"/>
        <v>100</v>
      </c>
      <c r="V15" s="1911" t="s">
        <v>1188</v>
      </c>
      <c r="W15" s="1912">
        <f t="shared" si="2"/>
        <v>100</v>
      </c>
      <c r="X15" s="1899"/>
      <c r="Y15" s="1864" t="s">
        <v>1199</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1200</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1643</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1188</v>
      </c>
      <c r="S19" s="1912">
        <f>F19</f>
        <v>100</v>
      </c>
      <c r="T19" s="1911" t="s">
        <v>1188</v>
      </c>
      <c r="U19" s="1912">
        <f>H19</f>
        <v>100</v>
      </c>
      <c r="V19" s="1911" t="s">
        <v>1188</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1684</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1188</v>
      </c>
      <c r="S21" s="1912">
        <f>F21</f>
        <v>100</v>
      </c>
      <c r="T21" s="1911" t="s">
        <v>1188</v>
      </c>
      <c r="U21" s="1912">
        <f>H21</f>
        <v>100</v>
      </c>
      <c r="V21" s="1911" t="s">
        <v>1188</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1201</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1188</v>
      </c>
      <c r="S23" s="1908">
        <f>F23</f>
        <v>100</v>
      </c>
      <c r="T23" s="1907" t="s">
        <v>1188</v>
      </c>
      <c r="U23" s="1908">
        <f>H23</f>
        <v>100</v>
      </c>
      <c r="V23" s="1907" t="s">
        <v>1188</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1202</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1188</v>
      </c>
      <c r="S25" s="1908">
        <f>F25</f>
        <v>100</v>
      </c>
      <c r="T25" s="1907" t="s">
        <v>1188</v>
      </c>
      <c r="U25" s="1908">
        <f>H25</f>
        <v>100</v>
      </c>
      <c r="V25" s="1907" t="s">
        <v>1188</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1204</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1188</v>
      </c>
      <c r="S27" s="1912">
        <f t="shared" ref="S27:S40" si="10">F27</f>
        <v>100</v>
      </c>
      <c r="T27" s="1911" t="s">
        <v>1188</v>
      </c>
      <c r="U27" s="1912">
        <f t="shared" ref="U27:U40" si="11">H27</f>
        <v>100</v>
      </c>
      <c r="V27" s="1911" t="s">
        <v>1188</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1250</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1188</v>
      </c>
      <c r="S28" s="1912">
        <f t="shared" si="10"/>
        <v>100</v>
      </c>
      <c r="T28" s="1911" t="s">
        <v>1188</v>
      </c>
      <c r="U28" s="1912">
        <f t="shared" si="11"/>
        <v>100</v>
      </c>
      <c r="V28" s="1911" t="s">
        <v>1188</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1645</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1188</v>
      </c>
      <c r="S30" s="1912">
        <f t="shared" si="10"/>
        <v>100</v>
      </c>
      <c r="T30" s="1911" t="s">
        <v>1188</v>
      </c>
      <c r="U30" s="1912">
        <f t="shared" si="11"/>
        <v>100</v>
      </c>
      <c r="V30" s="1911" t="s">
        <v>1188</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1188</v>
      </c>
      <c r="S31" s="1912">
        <f t="shared" si="10"/>
        <v>100</v>
      </c>
      <c r="T31" s="1911" t="s">
        <v>1188</v>
      </c>
      <c r="U31" s="1912">
        <f t="shared" si="11"/>
        <v>100</v>
      </c>
      <c r="V31" s="1911" t="s">
        <v>1188</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1210</v>
      </c>
      <c r="Q32" s="1304">
        <f t="shared" si="8"/>
        <v>111</v>
      </c>
      <c r="R32" s="1911" t="s">
        <v>1188</v>
      </c>
      <c r="S32" s="1912">
        <f t="shared" si="10"/>
        <v>100</v>
      </c>
      <c r="T32" s="1911" t="s">
        <v>1188</v>
      </c>
      <c r="U32" s="1912">
        <f t="shared" si="11"/>
        <v>100</v>
      </c>
      <c r="V32" s="1911" t="s">
        <v>1188</v>
      </c>
      <c r="W32" s="1912">
        <f t="shared" si="12"/>
        <v>100</v>
      </c>
      <c r="X32" s="1899"/>
      <c r="Y32" s="1874" t="s">
        <v>1210</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1188</v>
      </c>
      <c r="S33" s="1914">
        <f t="shared" si="10"/>
        <v>100</v>
      </c>
      <c r="T33" s="1913" t="s">
        <v>1188</v>
      </c>
      <c r="U33" s="1914">
        <f t="shared" si="11"/>
        <v>100</v>
      </c>
      <c r="V33" s="1913" t="s">
        <v>1188</v>
      </c>
      <c r="W33" s="1914">
        <f t="shared" si="12"/>
        <v>100</v>
      </c>
      <c r="X33" s="1915"/>
      <c r="Y33" s="1874"/>
      <c r="Z33" s="1924">
        <f t="shared" si="13"/>
        <v>111</v>
      </c>
      <c r="AA33" s="1886">
        <f t="shared" si="3"/>
        <v>1</v>
      </c>
      <c r="AB33" s="1886">
        <f t="shared" si="4"/>
        <v>1</v>
      </c>
      <c r="AC33" s="1886">
        <f t="shared" si="5"/>
        <v>1</v>
      </c>
    </row>
    <row r="34" ht="15.5" spans="1:29">
      <c r="A34" s="1737" t="s">
        <v>1208</v>
      </c>
      <c r="B34" s="1770" t="s">
        <v>1646</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1188</v>
      </c>
      <c r="S34" s="1912" t="e">
        <f t="shared" si="10"/>
        <v>#N/A</v>
      </c>
      <c r="T34" s="1911" t="s">
        <v>1188</v>
      </c>
      <c r="U34" s="1912" t="e">
        <f t="shared" si="11"/>
        <v>#N/A</v>
      </c>
      <c r="V34" s="1911" t="s">
        <v>1188</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1647</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1188</v>
      </c>
      <c r="S35" s="1912">
        <f t="shared" si="10"/>
        <v>100</v>
      </c>
      <c r="T35" s="1911" t="s">
        <v>1188</v>
      </c>
      <c r="U35" s="1912">
        <f t="shared" si="11"/>
        <v>100</v>
      </c>
      <c r="V35" s="1911" t="s">
        <v>1188</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1649</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1188</v>
      </c>
      <c r="S36" s="1908">
        <f t="shared" si="10"/>
        <v>100</v>
      </c>
      <c r="T36" s="1907" t="s">
        <v>1188</v>
      </c>
      <c r="U36" s="1908">
        <f t="shared" si="11"/>
        <v>100</v>
      </c>
      <c r="V36" s="1907" t="s">
        <v>1188</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1650</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1210</v>
      </c>
      <c r="Q37" s="1304" t="str">
        <f t="shared" si="14"/>
        <v>工程地质条件</v>
      </c>
      <c r="R37" s="1911" t="s">
        <v>1188</v>
      </c>
      <c r="S37" s="1912">
        <f t="shared" si="10"/>
        <v>100</v>
      </c>
      <c r="T37" s="1911" t="s">
        <v>1188</v>
      </c>
      <c r="U37" s="1912">
        <f t="shared" si="11"/>
        <v>100</v>
      </c>
      <c r="V37" s="1911" t="s">
        <v>1188</v>
      </c>
      <c r="W37" s="1912">
        <f t="shared" si="12"/>
        <v>100</v>
      </c>
      <c r="X37" s="1899"/>
      <c r="Y37" s="1874" t="s">
        <v>1210</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1188</v>
      </c>
      <c r="S38" s="1912">
        <f t="shared" si="10"/>
        <v>100</v>
      </c>
      <c r="T38" s="1911" t="s">
        <v>1188</v>
      </c>
      <c r="U38" s="1912">
        <f t="shared" si="11"/>
        <v>100</v>
      </c>
      <c r="V38" s="1911" t="s">
        <v>1188</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1188</v>
      </c>
      <c r="S39" s="1912">
        <f t="shared" si="10"/>
        <v>100</v>
      </c>
      <c r="T39" s="1911" t="s">
        <v>1188</v>
      </c>
      <c r="U39" s="1912">
        <f t="shared" si="11"/>
        <v>100</v>
      </c>
      <c r="V39" s="1911" t="s">
        <v>1188</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1188</v>
      </c>
      <c r="S40" s="1914">
        <f t="shared" si="10"/>
        <v>100</v>
      </c>
      <c r="T40" s="1913" t="s">
        <v>1188</v>
      </c>
      <c r="U40" s="1914">
        <f t="shared" si="11"/>
        <v>100</v>
      </c>
      <c r="V40" s="1913" t="s">
        <v>1188</v>
      </c>
      <c r="W40" s="1914">
        <f t="shared" si="12"/>
        <v>100</v>
      </c>
      <c r="X40" s="1915"/>
      <c r="Y40" s="1874"/>
      <c r="Z40" s="1924">
        <f t="shared" si="13"/>
        <v>111</v>
      </c>
      <c r="AA40" s="1886">
        <f t="shared" si="3"/>
        <v>1</v>
      </c>
      <c r="AB40" s="1886">
        <f t="shared" si="4"/>
        <v>1</v>
      </c>
      <c r="AC40" s="1886">
        <f t="shared" si="5"/>
        <v>1</v>
      </c>
    </row>
    <row r="41" spans="1:29">
      <c r="A41" s="1779" t="s">
        <v>1632</v>
      </c>
      <c r="B41" s="1780" t="s">
        <v>1685</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1222</v>
      </c>
      <c r="B42" s="1788"/>
      <c r="C42" s="1789" t="e">
        <f>R43</f>
        <v>#DIV/0!</v>
      </c>
      <c r="D42" s="1790" t="s">
        <v>1223</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1224</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1225</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1226</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1227</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1653</v>
      </c>
      <c r="B50" s="1806" t="s">
        <v>1654</v>
      </c>
      <c r="C50" s="1807" t="s">
        <v>1655</v>
      </c>
      <c r="D50" s="1808" t="s">
        <v>1656</v>
      </c>
      <c r="E50" s="1809" t="s">
        <v>1657</v>
      </c>
      <c r="F50" s="1810" t="s">
        <v>1658</v>
      </c>
      <c r="G50" s="1692" t="s">
        <v>1659</v>
      </c>
      <c r="H50" s="1300"/>
      <c r="I50" s="1886" t="s">
        <v>1686</v>
      </c>
      <c r="J50" s="1886">
        <f>项目基本情况!F35</f>
        <v>0</v>
      </c>
      <c r="K50" s="1887" t="s">
        <v>1661</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1662</v>
      </c>
      <c r="B51" s="1812" t="e">
        <f>C43</f>
        <v>#DIV/0!</v>
      </c>
      <c r="C51" s="602">
        <v>1</v>
      </c>
      <c r="D51" s="1813">
        <v>1</v>
      </c>
      <c r="E51" s="602">
        <f>'数据-汇总表'!E8+'数据-汇总表'!E9</f>
        <v>1144.97</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1663</v>
      </c>
      <c r="B52" s="668" t="e">
        <f>ROUND($C$43*C52*D52,0)</f>
        <v>#DIV/0!</v>
      </c>
      <c r="C52" s="1193">
        <f t="shared" ref="C52:C60" si="16">IF($C$50="北京市系数",I52,J52)</f>
        <v>0.5</v>
      </c>
      <c r="D52" s="1817">
        <v>0.25</v>
      </c>
      <c r="E52" s="1818"/>
      <c r="F52" s="1814" t="e">
        <f t="shared" si="15"/>
        <v>#DIV/0!</v>
      </c>
      <c r="G52" s="1819" t="s">
        <v>1664</v>
      </c>
      <c r="H52" s="1820" t="str">
        <f>项目基本情况!B37</f>
        <v>八级</v>
      </c>
      <c r="I52" s="1332">
        <f>SUMIF(修正!A57:A68,H52,修正!B57:B68)</f>
        <v>0.5</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1665</v>
      </c>
      <c r="B53" s="668" t="e">
        <f t="shared" ref="B53:B60" si="17">ROUND($C$43*C53*D53,0)</f>
        <v>#DIV/0!</v>
      </c>
      <c r="C53" s="1193">
        <f t="shared" si="16"/>
        <v>0.2</v>
      </c>
      <c r="D53" s="1817">
        <v>0.25</v>
      </c>
      <c r="E53" s="1818"/>
      <c r="F53" s="1814" t="e">
        <f t="shared" si="15"/>
        <v>#DIV/0!</v>
      </c>
      <c r="G53" s="1821"/>
      <c r="H53" s="1820" t="str">
        <f>项目基本情况!B37</f>
        <v>八级</v>
      </c>
      <c r="I53" s="1332">
        <f>SUMIF(修正!A57:A68,H53,修正!C57:C68)</f>
        <v>0.2</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1666</v>
      </c>
      <c r="B54" s="668" t="e">
        <f t="shared" si="17"/>
        <v>#DIV/0!</v>
      </c>
      <c r="C54" s="1193">
        <f t="shared" si="16"/>
        <v>0.2</v>
      </c>
      <c r="D54" s="1817">
        <v>0.25</v>
      </c>
      <c r="E54" s="1818"/>
      <c r="F54" s="1814" t="e">
        <f t="shared" si="15"/>
        <v>#DIV/0!</v>
      </c>
      <c r="G54" s="1821"/>
      <c r="H54" s="1820" t="str">
        <f>项目基本情况!B37</f>
        <v>八级</v>
      </c>
      <c r="I54" s="1332">
        <f>SUMIF(修正!A57:A68,H54,修正!D57:D68)</f>
        <v>0.2</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1667</v>
      </c>
      <c r="B56" s="668" t="e">
        <f t="shared" si="17"/>
        <v>#DIV/0!</v>
      </c>
      <c r="C56" s="1193">
        <f t="shared" si="16"/>
        <v>0</v>
      </c>
      <c r="D56" s="1817">
        <v>0.25</v>
      </c>
      <c r="E56" s="667">
        <f>'数据-汇总表'!E11</f>
        <v>0</v>
      </c>
      <c r="F56" s="1814" t="e">
        <f t="shared" si="15"/>
        <v>#DIV/0!</v>
      </c>
      <c r="G56" s="1823" t="s">
        <v>1668</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1669</v>
      </c>
      <c r="B57" s="668" t="e">
        <f t="shared" si="17"/>
        <v>#DIV/0!</v>
      </c>
      <c r="C57" s="1193">
        <f t="shared" si="16"/>
        <v>0</v>
      </c>
      <c r="D57" s="1817">
        <v>0.25</v>
      </c>
      <c r="E57" s="667">
        <f>'数据-汇总表'!E12</f>
        <v>0</v>
      </c>
      <c r="F57" s="1814" t="e">
        <f t="shared" si="15"/>
        <v>#DIV/0!</v>
      </c>
      <c r="G57" s="1824" t="s">
        <v>1670</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1671</v>
      </c>
      <c r="B58" s="668" t="e">
        <f t="shared" si="17"/>
        <v>#DIV/0!</v>
      </c>
      <c r="C58" s="1193">
        <f t="shared" si="16"/>
        <v>0</v>
      </c>
      <c r="D58" s="1817">
        <v>0.25</v>
      </c>
      <c r="E58" s="667">
        <f>'数据-汇总表'!E13</f>
        <v>0</v>
      </c>
      <c r="F58" s="1814" t="e">
        <f t="shared" si="15"/>
        <v>#DIV/0!</v>
      </c>
      <c r="G58" s="1824" t="s">
        <v>1672</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1673</v>
      </c>
      <c r="B59" s="668" t="e">
        <f t="shared" si="17"/>
        <v>#DIV/0!</v>
      </c>
      <c r="C59" s="1193">
        <f t="shared" si="16"/>
        <v>0.1</v>
      </c>
      <c r="D59" s="1817">
        <v>0.25</v>
      </c>
      <c r="E59" s="667">
        <f>'数据-汇总表'!E14</f>
        <v>0</v>
      </c>
      <c r="F59" s="1814" t="e">
        <f t="shared" si="15"/>
        <v>#DIV/0!</v>
      </c>
      <c r="G59" s="1823" t="s">
        <v>1664</v>
      </c>
      <c r="H59" s="1820" t="str">
        <f>项目基本情况!B37</f>
        <v>八级</v>
      </c>
      <c r="I59" s="1332">
        <f>SUMIF(修正!A57:A68,H59,修正!G57:G68)</f>
        <v>0.1</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1674</v>
      </c>
      <c r="B60" s="668" t="e">
        <f t="shared" si="17"/>
        <v>#DIV/0!</v>
      </c>
      <c r="C60" s="1193">
        <f t="shared" si="16"/>
        <v>0</v>
      </c>
      <c r="D60" s="1817">
        <v>0.25</v>
      </c>
      <c r="E60" s="667">
        <f>'数据-汇总表'!E15</f>
        <v>0</v>
      </c>
      <c r="F60" s="1814" t="e">
        <f t="shared" si="15"/>
        <v>#DIV/0!</v>
      </c>
      <c r="G60" s="1825" t="s">
        <v>1668</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1675</v>
      </c>
      <c r="B61" s="1828" t="s">
        <v>1676</v>
      </c>
      <c r="C61" s="1828" t="s">
        <v>1676</v>
      </c>
      <c r="D61" s="1828" t="s">
        <v>1676</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1228</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1677</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1687</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1229</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1189</v>
      </c>
      <c r="B68" s="1935"/>
      <c r="C68" s="1936" t="s">
        <v>1230</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1231</v>
      </c>
      <c r="B70" s="1940" t="s">
        <v>1192</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1195</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1196</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1197</v>
      </c>
      <c r="B83" s="1940" t="s">
        <v>1619</v>
      </c>
      <c r="C83" s="1960" t="s">
        <v>1233</v>
      </c>
      <c r="D83" s="1960" t="s">
        <v>1234</v>
      </c>
      <c r="E83" s="1960" t="s">
        <v>1235</v>
      </c>
      <c r="F83" s="1960" t="s">
        <v>1236</v>
      </c>
      <c r="G83" s="1960" t="s">
        <v>1237</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1200</v>
      </c>
      <c r="C85" s="1961" t="s">
        <v>1233</v>
      </c>
      <c r="D85" s="1961" t="s">
        <v>1234</v>
      </c>
      <c r="E85" s="1961" t="s">
        <v>1235</v>
      </c>
      <c r="F85" s="1961" t="s">
        <v>1236</v>
      </c>
      <c r="G85" s="1961" t="s">
        <v>1237</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1643</v>
      </c>
      <c r="C87" s="1960" t="s">
        <v>1233</v>
      </c>
      <c r="D87" s="1960" t="s">
        <v>1234</v>
      </c>
      <c r="E87" s="1960" t="s">
        <v>1235</v>
      </c>
      <c r="F87" s="1960" t="s">
        <v>1236</v>
      </c>
      <c r="G87" s="1960" t="s">
        <v>1237</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1644</v>
      </c>
      <c r="C89" s="1960" t="s">
        <v>1233</v>
      </c>
      <c r="D89" s="1960" t="s">
        <v>1234</v>
      </c>
      <c r="E89" s="1960" t="s">
        <v>1235</v>
      </c>
      <c r="F89" s="1960" t="s">
        <v>1236</v>
      </c>
      <c r="G89" s="1960" t="s">
        <v>1237</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1201</v>
      </c>
      <c r="C91" s="1960" t="s">
        <v>1233</v>
      </c>
      <c r="D91" s="1960" t="s">
        <v>1234</v>
      </c>
      <c r="E91" s="1960" t="s">
        <v>1235</v>
      </c>
      <c r="F91" s="1960" t="s">
        <v>1236</v>
      </c>
      <c r="G91" s="1960" t="s">
        <v>1237</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1202</v>
      </c>
      <c r="C93" s="1865" t="s">
        <v>1238</v>
      </c>
      <c r="D93" s="1865" t="s">
        <v>1239</v>
      </c>
      <c r="E93" s="1865" t="s">
        <v>1240</v>
      </c>
      <c r="F93" s="1865" t="s">
        <v>1241</v>
      </c>
      <c r="G93" s="1865" t="s">
        <v>1242</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1679</v>
      </c>
      <c r="D95" s="1944" t="s">
        <v>1680</v>
      </c>
      <c r="E95" s="1944" t="s">
        <v>1681</v>
      </c>
      <c r="F95" s="1944" t="s">
        <v>1682</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1250</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1645</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1208</v>
      </c>
      <c r="B107" s="1940" t="s">
        <v>1646</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1647</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1649</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1650</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1688</v>
      </c>
      <c r="C1" s="1573" t="s">
        <v>1689</v>
      </c>
      <c r="D1" s="1574"/>
      <c r="E1" s="1574"/>
      <c r="F1" s="1574"/>
      <c r="G1" s="1574"/>
      <c r="H1" s="1574"/>
      <c r="I1" s="1574"/>
      <c r="J1" s="1574"/>
      <c r="K1" s="1574"/>
      <c r="L1" s="1574"/>
      <c r="M1" s="1574"/>
      <c r="N1" s="1574"/>
      <c r="O1" s="1574"/>
      <c r="P1" s="1574"/>
      <c r="Q1" s="1574"/>
      <c r="R1" s="1574"/>
      <c r="S1" s="1643"/>
      <c r="T1" s="1572" t="s">
        <v>1690</v>
      </c>
    </row>
    <row r="2" s="341" customFormat="1" ht="25.5" spans="1:45">
      <c r="A2" s="1575"/>
      <c r="B2" s="1576" t="s">
        <v>481</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1691</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1692</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1693</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1694</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1695</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1696</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1697</v>
      </c>
      <c r="B17" s="1605" t="s">
        <v>1698</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1699</v>
      </c>
      <c r="E19" s="1613"/>
      <c r="F19" s="1613"/>
      <c r="G19" s="1613"/>
      <c r="H19" s="474"/>
      <c r="I19" s="889"/>
      <c r="J19" s="889"/>
      <c r="K19" s="889"/>
      <c r="L19" s="889"/>
      <c r="M19" s="889"/>
      <c r="N19" s="889"/>
      <c r="O19" s="889"/>
      <c r="P19" s="889"/>
      <c r="Q19" s="889"/>
      <c r="R19" s="889"/>
      <c r="S19" s="458"/>
    </row>
    <row r="20" ht="16.25" spans="1:19">
      <c r="A20" s="1614" t="s">
        <v>1700</v>
      </c>
      <c r="B20" s="1615">
        <f ca="1">IF(D20="——",S22,S22-F20)</f>
        <v>69426</v>
      </c>
      <c r="C20" s="889"/>
      <c r="D20" s="1616" t="s">
        <v>124</v>
      </c>
      <c r="E20" s="1617"/>
      <c r="F20" s="1572" t="e">
        <f ca="1">SUMIF(INDIRECT("'"&amp;H20&amp;"'"&amp;"!A:A"),"承租人权益价值",INDIRECT("'"&amp;H20&amp;"'"&amp;"!c:c"))</f>
        <v>#REF!</v>
      </c>
      <c r="G20" s="1572" t="s">
        <v>818</v>
      </c>
      <c r="H20" s="1618"/>
      <c r="I20" s="889"/>
      <c r="J20" s="889"/>
      <c r="K20" s="889"/>
      <c r="L20" s="889"/>
      <c r="M20" s="889"/>
      <c r="N20" s="889"/>
      <c r="O20" s="889"/>
      <c r="P20" s="889"/>
      <c r="Q20" s="889"/>
      <c r="R20" s="889"/>
      <c r="S20" s="458"/>
    </row>
    <row r="21" ht="15.5" spans="1:19">
      <c r="A21" s="1614" t="s">
        <v>1701</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1702</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1703</v>
      </c>
      <c r="B23" s="1619" t="s">
        <v>481</v>
      </c>
      <c r="C23" s="1619" t="s">
        <v>1690</v>
      </c>
      <c r="D23" s="1619" t="str">
        <f>B5</f>
        <v>修正项2</v>
      </c>
      <c r="E23" s="1619" t="s">
        <v>1690</v>
      </c>
      <c r="F23" s="1619" t="str">
        <f>B7</f>
        <v>修正项3</v>
      </c>
      <c r="G23" s="1619" t="s">
        <v>1690</v>
      </c>
      <c r="H23" s="1619" t="str">
        <f>B9</f>
        <v>修正项4</v>
      </c>
      <c r="I23" s="1619" t="s">
        <v>1690</v>
      </c>
      <c r="J23" s="1619" t="str">
        <f>B11</f>
        <v>修正项5</v>
      </c>
      <c r="K23" s="1619" t="s">
        <v>1690</v>
      </c>
      <c r="L23" s="1619" t="str">
        <f>B13</f>
        <v>修正项6</v>
      </c>
      <c r="M23" s="1619" t="s">
        <v>1690</v>
      </c>
      <c r="N23" s="1619" t="str">
        <f>B15</f>
        <v>修正项7</v>
      </c>
      <c r="O23" s="1619" t="s">
        <v>1690</v>
      </c>
      <c r="P23" s="1619" t="str">
        <f>B17</f>
        <v>楼层</v>
      </c>
      <c r="Q23" s="1619" t="s">
        <v>1690</v>
      </c>
      <c r="R23" s="1619" t="s">
        <v>1704</v>
      </c>
      <c r="S23" s="1619"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1706</v>
      </c>
      <c r="B1" s="910"/>
      <c r="C1" s="910"/>
      <c r="D1" s="910"/>
      <c r="E1" s="910"/>
      <c r="F1" s="1558"/>
      <c r="G1" s="1558"/>
      <c r="H1" s="1558"/>
      <c r="I1" s="1558"/>
      <c r="J1" s="1558"/>
      <c r="K1" s="1558"/>
      <c r="L1" s="1558"/>
      <c r="M1" s="1558"/>
      <c r="N1" s="1558"/>
      <c r="O1" s="1558"/>
      <c r="P1" s="1558"/>
    </row>
    <row r="2" ht="15" spans="1:16">
      <c r="A2" s="1559" t="s">
        <v>97</v>
      </c>
      <c r="B2" s="1560">
        <f ca="1">SUMIF(B6:B13,"&lt;&gt;#ref!",B6:B13)</f>
        <v>0</v>
      </c>
      <c r="C2" s="1559" t="s">
        <v>1707</v>
      </c>
      <c r="D2" s="1559" t="s">
        <v>1708</v>
      </c>
      <c r="E2" s="1561">
        <f ca="1">SUMIF(E6:E13,"&lt;&gt;#ref!",E6:E13)</f>
        <v>1144.97</v>
      </c>
      <c r="F2" s="1558"/>
      <c r="G2" s="1558"/>
      <c r="H2" s="1558"/>
      <c r="I2" s="1558"/>
      <c r="J2" s="1558"/>
      <c r="K2" s="1558"/>
      <c r="L2" s="1558"/>
      <c r="M2" s="1558"/>
      <c r="N2" s="1558"/>
      <c r="O2" s="1558"/>
      <c r="P2" s="1558"/>
    </row>
    <row r="3" ht="15.5" spans="1:16">
      <c r="A3" s="1559" t="s">
        <v>1709</v>
      </c>
      <c r="B3" s="1560">
        <f ca="1">ROUND(B2*10000/E2,0)</f>
        <v>0</v>
      </c>
      <c r="C3" s="1559" t="s">
        <v>1710</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1711</v>
      </c>
      <c r="B5" s="1564" t="s">
        <v>1712</v>
      </c>
      <c r="C5" s="1565"/>
      <c r="D5" s="1558"/>
      <c r="E5" s="1566" t="s">
        <v>1713</v>
      </c>
      <c r="F5" s="1558"/>
      <c r="G5" s="1558"/>
      <c r="H5" s="1558"/>
      <c r="I5" s="1558"/>
      <c r="J5" s="1558"/>
      <c r="K5" s="1558"/>
      <c r="L5" s="1558"/>
      <c r="M5" s="1558"/>
      <c r="N5" s="1558"/>
      <c r="O5" s="1558"/>
      <c r="P5" s="1558"/>
    </row>
    <row r="6" ht="15" spans="1:16">
      <c r="A6" s="1567" t="s">
        <v>1714</v>
      </c>
      <c r="B6" s="1560" t="e">
        <f ca="1">SUMIF(INDIRECT("'"&amp;A6&amp;"'"&amp;"!A:A"),"总价",INDIRECT("'"&amp;A6&amp;"'"&amp;"!B:B"))</f>
        <v>#REF!</v>
      </c>
      <c r="C6" s="1559" t="s">
        <v>1707</v>
      </c>
      <c r="D6" s="1558"/>
      <c r="E6" s="1561">
        <f ca="1">SUMIF(INDIRECT("'"&amp;A6&amp;"'"&amp;"!C:C"),"建筑面积",INDIRECT("'"&amp;A6&amp;"'"&amp;"!D:D"))</f>
        <v>1144.97</v>
      </c>
      <c r="F6" s="1558"/>
      <c r="G6" s="1558"/>
      <c r="H6" s="1558"/>
      <c r="I6" s="1558"/>
      <c r="J6" s="1558"/>
      <c r="K6" s="1558"/>
      <c r="L6" s="1558"/>
      <c r="M6" s="1558"/>
      <c r="N6" s="1558"/>
      <c r="O6" s="1558"/>
      <c r="P6" s="1558"/>
    </row>
    <row r="7" ht="15.5" spans="1:16">
      <c r="A7" s="1567"/>
      <c r="B7" s="1560" t="e">
        <f ca="1">SUMIF(INDIRECT("'"&amp;A7&amp;"'"&amp;"!A:A"),"总价",INDIRECT("'"&amp;A7&amp;"'"&amp;"!B:B"))</f>
        <v>#REF!</v>
      </c>
      <c r="C7" s="1559" t="s">
        <v>1707</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1707</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1707</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1707</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1707</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1707</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1707</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Q10" sqref="Q10"/>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1715</v>
      </c>
      <c r="B1" s="1092"/>
      <c r="C1" s="647" t="s">
        <v>1172</v>
      </c>
      <c r="D1" s="626">
        <f>SUM(D33:D34,D37:D42)</f>
        <v>1144.97</v>
      </c>
      <c r="E1" s="1190"/>
      <c r="F1" s="1190"/>
      <c r="G1" s="1190"/>
      <c r="H1" s="1190"/>
      <c r="I1" s="1190"/>
      <c r="J1" s="1190"/>
      <c r="K1" s="1183"/>
      <c r="L1" s="1387" t="s">
        <v>1716</v>
      </c>
      <c r="M1" s="1388">
        <f>SUMPRODUCT((区片价!B5:B9=I2)*(区片价!C3:G3=E2)*(区片价!C5:G9))</f>
        <v>0</v>
      </c>
      <c r="N1" s="1389">
        <f>SUMPRODUCT((因素修正幅度!B5:B9=I2)*(因素修正幅度!C3:G3=E2)*(因素修正幅度!C5:G9))</f>
        <v>0</v>
      </c>
      <c r="O1" s="1184"/>
      <c r="P1" s="1184"/>
      <c r="Q1" s="1183"/>
      <c r="R1" s="1472" t="s">
        <v>1717</v>
      </c>
      <c r="S1" s="1472" t="s">
        <v>1718</v>
      </c>
      <c r="T1" s="1472" t="s">
        <v>1719</v>
      </c>
      <c r="U1" s="1472" t="s">
        <v>1720</v>
      </c>
      <c r="V1" s="1472" t="s">
        <v>1721</v>
      </c>
      <c r="W1" s="1473"/>
      <c r="X1" s="1473"/>
      <c r="Y1" s="1473"/>
      <c r="Z1" s="1473"/>
      <c r="AA1" s="1473"/>
      <c r="AB1" s="1473"/>
      <c r="AC1" s="1486"/>
      <c r="AD1" s="1487"/>
      <c r="AE1" s="1487"/>
      <c r="AF1" s="1487"/>
      <c r="AG1" s="1487"/>
      <c r="AH1" s="1487"/>
      <c r="AI1" s="1487"/>
      <c r="AJ1" s="1496"/>
    </row>
    <row r="2" ht="15.5" spans="1:36">
      <c r="A2" s="647" t="s">
        <v>1008</v>
      </c>
      <c r="B2" s="655" t="e">
        <f>C30</f>
        <v>#REF!</v>
      </c>
      <c r="C2" s="1191" t="s">
        <v>1009</v>
      </c>
      <c r="D2" s="899" t="s">
        <v>1722</v>
      </c>
      <c r="E2" s="1192" t="s">
        <v>675</v>
      </c>
      <c r="F2" s="899" t="s">
        <v>1723</v>
      </c>
      <c r="G2" s="1193" t="str">
        <f>IF(E2="商业",项目基本情况!B37,IF(E2="办公",项目基本情况!C37,IF(E2="住宅",项目基本情况!D37,IF(E2="工业",项目基本情况!E37,项目基本情况!F37))))</f>
        <v>八级</v>
      </c>
      <c r="H2" s="899" t="s">
        <v>1724</v>
      </c>
      <c r="I2" s="1193" t="str">
        <f>IF(E2="商业",项目基本情况!B38,IF(E2="办公",项目基本情况!C38,IF(E2="住宅",项目基本情况!D38,IF(E2="工业",项目基本情况!E38,项目基本情况!F38))))</f>
        <v>Ⅷ-怀1</v>
      </c>
      <c r="J2" s="1190"/>
      <c r="K2" s="1183"/>
      <c r="L2" s="1390" t="s">
        <v>1725</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1.5418</v>
      </c>
      <c r="T2" s="1474">
        <f t="shared" ref="T2:T16" si="0">ROUND($C$5*$C$22*$C$23*$C$24*S2*$C$28,0)</f>
        <v>9352</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1010</v>
      </c>
      <c r="B3" s="655" t="e">
        <f>ROUND(B2*10000/D1,0)</f>
        <v>#REF!</v>
      </c>
      <c r="C3" s="1191" t="s">
        <v>1011</v>
      </c>
      <c r="D3" s="899" t="s">
        <v>1726</v>
      </c>
      <c r="E3" s="1194" t="s">
        <v>1727</v>
      </c>
      <c r="F3" s="1195" t="s">
        <v>1728</v>
      </c>
      <c r="G3" s="1196" t="e">
        <f>IF(F3="宗地容积率",'数据-汇总表'!I4,IF(F3="估价对象容积率",'数据-汇总表'!I6,'数据-汇总表'!I7))</f>
        <v>#DIV/0!</v>
      </c>
      <c r="H3" s="899" t="s">
        <v>1729</v>
      </c>
      <c r="I3" s="1392">
        <v>3</v>
      </c>
      <c r="J3" s="1190" t="s">
        <v>1730</v>
      </c>
      <c r="K3" s="1183"/>
      <c r="L3" s="1390" t="s">
        <v>1731</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1.1884</v>
      </c>
      <c r="T3" s="1474">
        <f t="shared" si="0"/>
        <v>7209</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1732</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0.9694</v>
      </c>
      <c r="T4" s="1474">
        <f t="shared" si="0"/>
        <v>5880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911</v>
      </c>
      <c r="B5" s="1201" t="s">
        <v>1733</v>
      </c>
      <c r="C5" s="1202">
        <f>ROUND(IF(E2="商业",C6*C7*C17+C20,(IF(E2="住宅",C6*C13*C17+C20,IF(E2="办公",C6*C12*C17+C20,C6+C20)))),0)</f>
        <v>7610</v>
      </c>
      <c r="D5" s="1203">
        <f>ROUND(C6*C17+C20,0)</f>
        <v>7610</v>
      </c>
      <c r="E5" s="1203"/>
      <c r="F5" s="1204"/>
      <c r="G5" s="1205"/>
      <c r="H5" s="1205"/>
      <c r="I5" s="1205"/>
      <c r="J5" s="1394"/>
      <c r="K5" s="1395"/>
      <c r="L5" s="1390" t="s">
        <v>1734</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0.823</v>
      </c>
      <c r="T5" s="1474">
        <f t="shared" si="0"/>
        <v>4992</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1013</v>
      </c>
      <c r="B6" s="1207" t="s">
        <v>1735</v>
      </c>
      <c r="C6" s="1208">
        <f>SUMIF(L1:L12,G2,M1:M12)</f>
        <v>7610</v>
      </c>
      <c r="D6" s="1209"/>
      <c r="E6" s="1210"/>
      <c r="F6" s="1210"/>
      <c r="G6" s="1211"/>
      <c r="H6" s="1211"/>
      <c r="I6" s="1211"/>
      <c r="J6" s="1396"/>
      <c r="K6" s="339"/>
      <c r="L6" s="1390" t="s">
        <v>1736</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0.7498</v>
      </c>
      <c r="T6" s="1474">
        <f t="shared" si="0"/>
        <v>4548</v>
      </c>
      <c r="U6" s="1475"/>
      <c r="V6" s="1474">
        <f t="shared" si="1"/>
        <v>0</v>
      </c>
      <c r="W6" s="1473"/>
      <c r="X6" s="1473"/>
      <c r="Y6" s="1473"/>
      <c r="Z6" s="1473"/>
      <c r="AA6" s="1473"/>
      <c r="AB6" s="1473"/>
      <c r="AC6" s="1488"/>
      <c r="AD6" s="1489"/>
      <c r="AE6" s="1489"/>
      <c r="AF6" s="1489"/>
      <c r="AG6" s="1489"/>
      <c r="AH6" s="1489"/>
      <c r="AI6" s="1489"/>
      <c r="AJ6" s="1497"/>
    </row>
    <row r="7" ht="26.75" spans="1:36">
      <c r="A7" s="1212" t="s">
        <v>1737</v>
      </c>
      <c r="B7" s="892" t="s">
        <v>1738</v>
      </c>
      <c r="C7" s="1213">
        <f>IF(C8="不临65条商业街",1,ROUND(1+(1.6*E8+1.2*E9+0.8*E10+0.4*E11)*C9,4))</f>
        <v>1</v>
      </c>
      <c r="D7" s="1214" t="s">
        <v>1739</v>
      </c>
      <c r="E7" s="1215"/>
      <c r="F7" s="1216"/>
      <c r="G7" s="1217"/>
      <c r="H7" s="1217"/>
      <c r="I7" s="1217"/>
      <c r="J7" s="1397"/>
      <c r="K7" s="339"/>
      <c r="L7" s="1390" t="s">
        <v>1740</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1741</v>
      </c>
      <c r="X7" s="1478" t="str">
        <f>G2</f>
        <v>八级</v>
      </c>
      <c r="Y7" s="1478" t="s">
        <v>1742</v>
      </c>
      <c r="Z7" s="1490" t="e">
        <f>G3</f>
        <v>#DIV/0!</v>
      </c>
      <c r="AA7" s="1473"/>
      <c r="AB7" s="1473"/>
      <c r="AC7" s="1486"/>
      <c r="AD7" s="1487"/>
      <c r="AE7" s="1487"/>
      <c r="AF7" s="1487"/>
      <c r="AG7" s="1487"/>
      <c r="AH7" s="1487"/>
      <c r="AI7" s="1487"/>
      <c r="AJ7" s="1496"/>
    </row>
    <row r="8" ht="26" spans="1:36">
      <c r="A8" s="1218"/>
      <c r="B8" s="899" t="s">
        <v>1743</v>
      </c>
      <c r="C8" s="1219" t="s">
        <v>1744</v>
      </c>
      <c r="D8" s="1220" t="s">
        <v>1745</v>
      </c>
      <c r="E8" s="1221" t="e">
        <f>ROUND(C11/E7,4)</f>
        <v>#DIV/0!</v>
      </c>
      <c r="F8" s="1222" t="s">
        <v>1746</v>
      </c>
      <c r="G8" s="1223"/>
      <c r="H8" s="1223"/>
      <c r="I8" s="1223"/>
      <c r="J8" s="1398"/>
      <c r="K8" s="1183"/>
      <c r="L8" s="1390" t="s">
        <v>1747</v>
      </c>
      <c r="M8" s="1391">
        <f>SUMPRODUCT((区片价!B234:B276=I2)*(区片价!C3:G3=E2)*(区片价!C234:G276))</f>
        <v>7610</v>
      </c>
      <c r="N8" s="1389">
        <f>SUMPRODUCT((因素修正幅度!B234:B276=I2)*(因素修正幅度!C3:G3=E2)*(因素修正幅度!C234:G276))</f>
        <v>0.144</v>
      </c>
      <c r="O8" s="1183"/>
      <c r="P8" s="1183"/>
      <c r="Q8" s="1183"/>
      <c r="R8" s="1472">
        <v>7</v>
      </c>
      <c r="S8" s="1475"/>
      <c r="T8" s="1474">
        <f t="shared" si="0"/>
        <v>0</v>
      </c>
      <c r="U8" s="1475"/>
      <c r="V8" s="1474">
        <f t="shared" si="1"/>
        <v>0</v>
      </c>
      <c r="W8" s="1479" t="s">
        <v>1748</v>
      </c>
      <c r="X8" s="1480"/>
      <c r="Y8" s="1491" t="s">
        <v>1749</v>
      </c>
      <c r="Z8" s="1491" t="s">
        <v>1750</v>
      </c>
      <c r="AA8" s="1491" t="s">
        <v>1751</v>
      </c>
      <c r="AB8" s="1491" t="s">
        <v>1752</v>
      </c>
      <c r="AC8" s="1491" t="s">
        <v>1753</v>
      </c>
      <c r="AD8" s="1491" t="s">
        <v>1754</v>
      </c>
      <c r="AE8" s="1491" t="s">
        <v>1755</v>
      </c>
      <c r="AF8" s="1491" t="s">
        <v>1756</v>
      </c>
      <c r="AG8" s="1491" t="s">
        <v>1757</v>
      </c>
      <c r="AH8" s="1491" t="s">
        <v>1758</v>
      </c>
      <c r="AI8" s="1491" t="s">
        <v>1759</v>
      </c>
      <c r="AJ8" s="1491" t="s">
        <v>1760</v>
      </c>
    </row>
    <row r="9" ht="15.5" spans="1:36">
      <c r="A9" s="1218"/>
      <c r="B9" s="899" t="s">
        <v>1761</v>
      </c>
      <c r="C9" s="1224">
        <f>SUMIF(修正!C71:C138,C8,修正!E71:E138)</f>
        <v>0</v>
      </c>
      <c r="D9" s="1193" t="s">
        <v>1762</v>
      </c>
      <c r="E9" s="1193" t="e">
        <f>ROUND(C11/E7,4)</f>
        <v>#DIV/0!</v>
      </c>
      <c r="F9" s="1222" t="s">
        <v>1763</v>
      </c>
      <c r="G9" s="1223"/>
      <c r="H9" s="1223"/>
      <c r="I9" s="1223"/>
      <c r="J9" s="1398"/>
      <c r="K9" s="1183"/>
      <c r="L9" s="1390" t="s">
        <v>1764</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1765</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1766</v>
      </c>
      <c r="C10" s="1193">
        <f>SUMIF(修正!C71:C138,C8,修正!F71:F138)</f>
        <v>0</v>
      </c>
      <c r="D10" s="1193" t="s">
        <v>1767</v>
      </c>
      <c r="E10" s="1193" t="e">
        <f>ROUND(C11/E7,4)</f>
        <v>#DIV/0!</v>
      </c>
      <c r="F10" s="1222" t="s">
        <v>1768</v>
      </c>
      <c r="G10" s="1223"/>
      <c r="H10" s="1223"/>
      <c r="I10" s="1223"/>
      <c r="J10" s="1398"/>
      <c r="K10" s="1183"/>
      <c r="L10" s="1390" t="s">
        <v>1769</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spans="1:36">
      <c r="A11" s="1225"/>
      <c r="B11" s="1226" t="s">
        <v>1770</v>
      </c>
      <c r="C11" s="1227">
        <f>C10/4</f>
        <v>0</v>
      </c>
      <c r="D11" s="1227" t="s">
        <v>1771</v>
      </c>
      <c r="E11" s="1227" t="e">
        <f>ROUND(C11/E7,4)</f>
        <v>#DIV/0!</v>
      </c>
      <c r="F11" s="1228" t="s">
        <v>1772</v>
      </c>
      <c r="G11" s="1229"/>
      <c r="H11" s="1229"/>
      <c r="I11" s="1229"/>
      <c r="J11" s="1399"/>
      <c r="K11" s="1183"/>
      <c r="L11" s="1390" t="s">
        <v>1773</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1774</v>
      </c>
      <c r="B12" s="1230" t="s">
        <v>1775</v>
      </c>
      <c r="C12" s="1231">
        <v>1</v>
      </c>
      <c r="D12" s="1232" t="s">
        <v>1776</v>
      </c>
      <c r="E12" s="1233" t="s">
        <v>1777</v>
      </c>
      <c r="F12" s="1234"/>
      <c r="G12" s="1235"/>
      <c r="H12" s="1235"/>
      <c r="I12" s="1235"/>
      <c r="J12" s="1400"/>
      <c r="K12" s="1183"/>
      <c r="L12" s="1401" t="s">
        <v>1778</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1779</v>
      </c>
      <c r="B13" s="1236" t="s">
        <v>1780</v>
      </c>
      <c r="C13" s="1213">
        <f>ROUND(C16*D16*E16*F16*G16*H16*I16*J16,4)</f>
        <v>0</v>
      </c>
      <c r="D13" s="1237" t="s">
        <v>1781</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1782</v>
      </c>
      <c r="C14" s="1241" t="s">
        <v>1783</v>
      </c>
      <c r="D14" s="1242" t="s">
        <v>1784</v>
      </c>
      <c r="E14" s="1243" t="s">
        <v>1785</v>
      </c>
      <c r="F14" s="1244" t="s">
        <v>1786</v>
      </c>
      <c r="G14" s="1244" t="s">
        <v>1786</v>
      </c>
      <c r="H14" s="1244" t="s">
        <v>1786</v>
      </c>
      <c r="I14" s="1244" t="s">
        <v>1786</v>
      </c>
      <c r="J14" s="1244" t="s">
        <v>1786</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1787</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1690</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1788</v>
      </c>
      <c r="B17" s="1254" t="s">
        <v>1789</v>
      </c>
      <c r="C17" s="1255">
        <f>ROUND(IF(OR(E2="工业",E2="公共服务"),1,IF(AND(E18=0,E19=0),1,IF(AND(E18=J24,E19=G19),0.8,IF(E19=0,1+E17*(-0.2),1+E17*G17*(-0.2))))),4)</f>
        <v>1</v>
      </c>
      <c r="D17" s="1256" t="s">
        <v>1790</v>
      </c>
      <c r="E17" s="1255">
        <f>ROUND(G18/I18,2)</f>
        <v>0</v>
      </c>
      <c r="F17" s="1256" t="s">
        <v>1791</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1792</v>
      </c>
      <c r="E18" s="967"/>
      <c r="F18" s="1260" t="s">
        <v>1793</v>
      </c>
      <c r="G18" s="1258">
        <f>ROUND(1-(1/(POWER(1+G24,E18))),4)</f>
        <v>0</v>
      </c>
      <c r="H18" s="1260" t="s">
        <v>1794</v>
      </c>
      <c r="I18" s="1258">
        <f>ROUND(1-(1/(POWER(1+G24,J24))),4)</f>
        <v>0.8825</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1795</v>
      </c>
      <c r="E19" s="1264"/>
      <c r="F19" s="1265" t="s">
        <v>1796</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1797</v>
      </c>
      <c r="B20" s="895" t="s">
        <v>1798</v>
      </c>
      <c r="C20" s="1267">
        <f>ROUND(IF(F21="与级别开发程度一致",0,(G21-E21)/C21),0)</f>
        <v>0</v>
      </c>
      <c r="D20" s="1268" t="s">
        <v>1799</v>
      </c>
      <c r="E20" s="1269"/>
      <c r="F20" s="1270" t="s">
        <v>1800</v>
      </c>
      <c r="G20" s="1271"/>
      <c r="H20" s="1272" t="s">
        <v>360</v>
      </c>
      <c r="I20" s="1272" t="s">
        <v>361</v>
      </c>
      <c r="J20" s="1411" t="s">
        <v>362</v>
      </c>
      <c r="K20" s="1412" t="s">
        <v>363</v>
      </c>
      <c r="L20" s="1412" t="s">
        <v>364</v>
      </c>
      <c r="M20" s="1412" t="s">
        <v>365</v>
      </c>
      <c r="N20" s="1412" t="s">
        <v>1801</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1802</v>
      </c>
      <c r="C21" s="1275">
        <f>IF(E3="M4科研用地",SUMPRODUCT((修正!A2:A7=E3)*(修正!B1:M1=G2)*(修正!B2:M7)),SUMPRODUCT((修正!A2:A7=E2)*(修正!B1:M1=G2)*(修正!B2:M7)))</f>
        <v>2</v>
      </c>
      <c r="D21" s="1276" t="str">
        <f>IF(OR(G2="八级",G2="九级",G2="十级",G2="十一级",G2="十二级"),"五通一平","七通一平")</f>
        <v>五通一平</v>
      </c>
      <c r="E21" s="1277">
        <f>SUMPRODUCT((修正!B1:M1=G2)*(修正!B17:M17))</f>
        <v>185</v>
      </c>
      <c r="F21" s="1278" t="s">
        <v>1803</v>
      </c>
      <c r="G21" s="1279">
        <f>SUM(H21:O21)</f>
        <v>255</v>
      </c>
      <c r="H21" s="1275">
        <f>SUMPRODUCT((七通一平=H20)*(修正!B1:M1=G2)*(修正!B8:M16))</f>
        <v>60</v>
      </c>
      <c r="I21" s="1275">
        <f>SUMPRODUCT((七通一平=I20)*(修正!B1:M1=G2)*(修正!B8:M16))</f>
        <v>50</v>
      </c>
      <c r="J21" s="1414">
        <f>SUMPRODUCT((七通一平=J20)*(修正!B1:M1=G2)*(修正!B8:M16))</f>
        <v>10</v>
      </c>
      <c r="K21" s="1275">
        <f>SUMPRODUCT((七通一平=K20)*(修正!B1:M1=G2)*(修正!B8:M16))</f>
        <v>20</v>
      </c>
      <c r="L21" s="1275">
        <f>SUMPRODUCT((七通一平=L20)*(修正!B1:M1=G2)*(修正!B8:M16))</f>
        <v>35</v>
      </c>
      <c r="M21" s="1275">
        <f>SUMPRODUCT((七通一平=M20)*(修正!B1:M1=G2)*(修正!B8:M16))</f>
        <v>40</v>
      </c>
      <c r="N21" s="1275">
        <f>SUMPRODUCT((七通一平=N20)*(修正!B1:M1=G2)*(修正!B8:M16))</f>
        <v>30</v>
      </c>
      <c r="O21" s="1415">
        <f>SUMPRODUCT((七通一平=O20)*(修正!B1:M1=G2)*(修正!B8:M16))</f>
        <v>10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922</v>
      </c>
      <c r="B22" s="1281" t="s">
        <v>1804</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927</v>
      </c>
      <c r="B23" s="1286" t="s">
        <v>1805</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288" t="s">
        <v>1806</v>
      </c>
      <c r="E23" s="1289">
        <v>44197</v>
      </c>
      <c r="F23" s="1288" t="s">
        <v>1807</v>
      </c>
      <c r="G23" s="1290">
        <f>'数据-取费表'!B2</f>
        <v>45608</v>
      </c>
      <c r="H23" s="1291" t="s">
        <v>1808</v>
      </c>
      <c r="I23" s="1420" t="str">
        <f>IF(H23="季度增幅（自定义）",SUMIF(N25:N28,E2,O25:O28),"")</f>
        <v/>
      </c>
      <c r="J23" s="1421" t="s">
        <v>1809</v>
      </c>
      <c r="K23" s="1417"/>
      <c r="L23" s="1422" t="s">
        <v>1810</v>
      </c>
      <c r="M23" s="1423">
        <f>ROUND(SUMIF(地价!B2:G2,E2,地价!B16:G16),0)</f>
        <v>350</v>
      </c>
      <c r="N23" s="1424" t="s">
        <v>1811</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930</v>
      </c>
      <c r="B24" s="1293" t="s">
        <v>1812</v>
      </c>
      <c r="C24" s="1294">
        <f>ROUND(POWER(1+G24,J24-I24)*(POWER(1+G24,I24)-1)/(POWER(1+G24,J24)-1),4)</f>
        <v>0.7691</v>
      </c>
      <c r="D24" s="1295" t="s">
        <v>1813</v>
      </c>
      <c r="E24" s="1296">
        <f>存贷款利率!E27/100</f>
        <v>0.0435</v>
      </c>
      <c r="F24" s="1295" t="s">
        <v>1814</v>
      </c>
      <c r="G24" s="1297">
        <f>SUMIF(M30:Q30,E2,M33:Q33)</f>
        <v>0.055</v>
      </c>
      <c r="H24" s="1295" t="s">
        <v>1815</v>
      </c>
      <c r="I24" s="1426">
        <f>SUMIF('数据-取费表'!C6:C15,E2,'数据-取费表'!F6:F15)/COUNTIF('数据-取费表'!C6:C15,E2)</f>
        <v>21.21</v>
      </c>
      <c r="J24" s="1427">
        <f>IF(E2="住宅",70,IF(E2="商业",40,50))</f>
        <v>40</v>
      </c>
      <c r="K24" s="1417"/>
      <c r="L24" s="1428" t="s">
        <v>1816</v>
      </c>
      <c r="M24" s="1429">
        <f>ROUND(SUMPRODUCT((地价!A4:A16=YEAR(G23)&amp;"-"&amp;ROUNDUP(MONTH(G23)/3,0))*(地价!B2:G2=E2)*(地价!B4:G16)),0)</f>
        <v>0</v>
      </c>
      <c r="N24" s="1430" t="s">
        <v>1817</v>
      </c>
      <c r="O24" s="1431" t="s">
        <v>1818</v>
      </c>
      <c r="P24" s="1432" t="s">
        <v>1819</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953</v>
      </c>
      <c r="B25" s="1299" t="s">
        <v>1820</v>
      </c>
      <c r="C25" s="1300">
        <f>IF(B25="容积率修正",IF(G3&lt;10,D26,J26),C27)</f>
        <v>0.9694</v>
      </c>
      <c r="D25" s="1301"/>
      <c r="E25" s="1301"/>
      <c r="F25" s="1301"/>
      <c r="G25" s="1301"/>
      <c r="H25" s="1301"/>
      <c r="I25" s="1301"/>
      <c r="J25" s="1433"/>
      <c r="K25" s="1417"/>
      <c r="L25" s="1418"/>
      <c r="M25" s="1418"/>
      <c r="N25" s="1434" t="s">
        <v>1821</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1822</v>
      </c>
      <c r="B26" s="1303" t="s">
        <v>1823</v>
      </c>
      <c r="C26" s="1303" t="s">
        <v>1824</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1825</v>
      </c>
      <c r="J26" s="1437" t="e">
        <f>IF(G3&gt;=10,D115,"——")</f>
        <v>#DIV/0!</v>
      </c>
      <c r="K26" s="1417"/>
      <c r="L26" s="1418"/>
      <c r="M26" s="1418"/>
      <c r="N26" s="1434" t="s">
        <v>1826</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1827</v>
      </c>
      <c r="B27" s="1305" t="s">
        <v>1828</v>
      </c>
      <c r="C27" s="1306">
        <f>ROUND(IF(I3&lt;6,SUMPRODUCT((B106:B110=I3)*(C105:N105=G2)*(C106:N110)),SUMIF(C105:N105,G2,C112:N112)),4)</f>
        <v>0.9694</v>
      </c>
      <c r="D27" s="1190"/>
      <c r="E27" s="1190"/>
      <c r="F27" s="1307"/>
      <c r="G27" s="1308"/>
      <c r="H27" s="1309"/>
      <c r="I27" s="1438"/>
      <c r="J27" s="1439"/>
      <c r="K27" s="1183"/>
      <c r="L27" s="1184"/>
      <c r="M27" s="1184"/>
      <c r="N27" s="1434" t="s">
        <v>1829</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1830</v>
      </c>
      <c r="B28" s="1286" t="s">
        <v>1831</v>
      </c>
      <c r="C28" s="1287">
        <f>SUMIF(A47:A101,E2,B47:B101)</f>
        <v>1</v>
      </c>
      <c r="D28" s="1310"/>
      <c r="E28" s="1311"/>
      <c r="F28" s="1311"/>
      <c r="G28" s="1311"/>
      <c r="H28" s="1311"/>
      <c r="I28" s="1311"/>
      <c r="J28" s="1440"/>
      <c r="K28" s="1417"/>
      <c r="L28" s="1418"/>
      <c r="M28" s="1418"/>
      <c r="N28" s="1441" t="s">
        <v>1832</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1833</v>
      </c>
      <c r="B29" s="1312" t="s">
        <v>1834</v>
      </c>
      <c r="C29" s="1313"/>
      <c r="D29" s="1217"/>
      <c r="E29" s="1217"/>
      <c r="F29" s="1314"/>
      <c r="G29" s="1217"/>
      <c r="H29" s="1217"/>
      <c r="I29" s="1217"/>
      <c r="J29" s="1397"/>
      <c r="K29" s="1183"/>
      <c r="L29" s="1184"/>
      <c r="M29" s="1184"/>
      <c r="N29" s="1444" t="s">
        <v>1835</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1836</v>
      </c>
      <c r="C30" s="1316" t="e">
        <f>IF(B25="容积率修正",E33+SUM(E37:E42),SUM(V2:V16)+SUM(E37:E42))</f>
        <v>#REF!</v>
      </c>
      <c r="D30" s="1317"/>
      <c r="E30" s="1190"/>
      <c r="F30" s="1318"/>
      <c r="G30" s="1190"/>
      <c r="H30" s="1190"/>
      <c r="I30" s="1190"/>
      <c r="J30" s="1447"/>
      <c r="K30" s="1183"/>
      <c r="L30" s="1448" t="s">
        <v>1722</v>
      </c>
      <c r="M30" s="1449" t="s">
        <v>1837</v>
      </c>
      <c r="N30" s="1449" t="s">
        <v>1838</v>
      </c>
      <c r="O30" s="1449" t="s">
        <v>1839</v>
      </c>
      <c r="P30" s="1449" t="s">
        <v>1840</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1841</v>
      </c>
      <c r="C31" s="1319" t="e">
        <f>E34+SUM(I37:I42)</f>
        <v>#REF!</v>
      </c>
      <c r="D31" s="1320"/>
      <c r="E31" s="1321"/>
      <c r="F31" s="1322"/>
      <c r="G31" s="1321"/>
      <c r="H31" s="1321"/>
      <c r="I31" s="1321"/>
      <c r="J31" s="1450"/>
      <c r="K31" s="1183"/>
      <c r="L31" s="1451" t="s">
        <v>1842</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1843</v>
      </c>
      <c r="C32" s="1325" t="s">
        <v>1844</v>
      </c>
      <c r="D32" s="1325" t="s">
        <v>586</v>
      </c>
      <c r="E32" s="1326" t="s">
        <v>1845</v>
      </c>
      <c r="F32" s="1327"/>
      <c r="G32" s="1239"/>
      <c r="H32" s="1239"/>
      <c r="I32" s="1239"/>
      <c r="J32" s="1403"/>
      <c r="K32" s="1183"/>
      <c r="L32" s="1452" t="s">
        <v>1814</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1846</v>
      </c>
      <c r="C33" s="1330">
        <f>ROUND(C5*C22*C23*C24*C25*C28,0)</f>
        <v>5880</v>
      </c>
      <c r="D33" s="1331">
        <f>'数据-汇总表'!F31</f>
        <v>1144.97</v>
      </c>
      <c r="E33" s="1332">
        <f>ROUND(C33*D33/10000,0)</f>
        <v>673</v>
      </c>
      <c r="F33" s="1333" t="s">
        <v>1847</v>
      </c>
      <c r="G33" s="1334"/>
      <c r="H33" s="1334"/>
      <c r="I33" s="1334"/>
      <c r="J33" s="1453"/>
      <c r="K33" s="1183"/>
      <c r="L33" s="1454" t="s">
        <v>1848</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1849</v>
      </c>
      <c r="C34" s="1276" t="e">
        <f>ROUND(IF(E2="工业",C33*M42,IF(B25="楼层修正",SUM(V2:V16)*M41*10000/D34,C33*M41)),0)</f>
        <v>#REF!</v>
      </c>
      <c r="D34" s="1337"/>
      <c r="E34" s="1332" t="e">
        <f>ROUND(IF(B25="楼层修正",SUM(V2:V16)*M40,C34*D34/10000),0)</f>
        <v>#REF!</v>
      </c>
      <c r="F34" s="1338" t="s">
        <v>1850</v>
      </c>
      <c r="G34" s="1339"/>
      <c r="H34" s="1339"/>
      <c r="I34" s="1339"/>
      <c r="J34" s="1456"/>
      <c r="K34" s="1183"/>
      <c r="L34" s="1454" t="s">
        <v>1851</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1852</v>
      </c>
      <c r="C35" s="1342" t="s">
        <v>1853</v>
      </c>
      <c r="D35" s="1239"/>
      <c r="E35" s="1343"/>
      <c r="F35" s="1343"/>
      <c r="G35" s="1237" t="s">
        <v>1850</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1844</v>
      </c>
      <c r="D36" s="1346" t="s">
        <v>586</v>
      </c>
      <c r="E36" s="1346" t="s">
        <v>1845</v>
      </c>
      <c r="F36" s="626" t="s">
        <v>1854</v>
      </c>
      <c r="G36" s="1347" t="s">
        <v>1844</v>
      </c>
      <c r="H36" s="1347" t="s">
        <v>586</v>
      </c>
      <c r="I36" s="1347" t="s">
        <v>1845</v>
      </c>
      <c r="J36" s="697"/>
      <c r="K36" s="1358" t="s">
        <v>1855</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1856</v>
      </c>
      <c r="C37" s="1330">
        <f>ROUND(D5*C22*C23*C24*C28*F37,0)</f>
        <v>3033</v>
      </c>
      <c r="D37" s="1331"/>
      <c r="E37" s="1193">
        <f>ROUND(C37*D37/10000,0)</f>
        <v>0</v>
      </c>
      <c r="F37" s="1193">
        <f>SUMIF(修正!A57:A68,G2,修正!B57:B68)</f>
        <v>0.5</v>
      </c>
      <c r="G37" s="1193">
        <f>ROUND(IF(E2="工业",C37*$M$42,C37*$M$41),0)</f>
        <v>758</v>
      </c>
      <c r="H37" s="1193">
        <f>D37</f>
        <v>0</v>
      </c>
      <c r="I37" s="1193">
        <f>ROUND(G37*H37/10000,0)</f>
        <v>0</v>
      </c>
      <c r="J37" s="1459"/>
      <c r="K37" s="1460" t="s">
        <v>1857</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1858</v>
      </c>
      <c r="C38" s="1330">
        <f>ROUND(D5*C22*C23*C24*C28*F38,0)</f>
        <v>1213</v>
      </c>
      <c r="D38" s="1331"/>
      <c r="E38" s="1193">
        <f t="shared" ref="E38:E42" si="4">ROUND(C38*D38/10000,0)</f>
        <v>0</v>
      </c>
      <c r="F38" s="1193">
        <f>SUMIF(修正!A57:A68,G2,修正!C57:C68)</f>
        <v>0.2</v>
      </c>
      <c r="G38" s="1193">
        <f>ROUND(IF(E2="工业",C38*$M$42,C38*$M$41),0)</f>
        <v>303</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1859</v>
      </c>
      <c r="C39" s="1330">
        <f>ROUND(D5*C22*C23*C24*C28*F39,0)</f>
        <v>1213</v>
      </c>
      <c r="D39" s="1331"/>
      <c r="E39" s="1193">
        <f t="shared" si="4"/>
        <v>0</v>
      </c>
      <c r="F39" s="1193">
        <f>SUMIF(修正!A57:A68,G2,修正!D57:D68)</f>
        <v>0.2</v>
      </c>
      <c r="G39" s="1193">
        <f>ROUND(IF(E2="工业",C39*$M$42,C39*$M$41),0)</f>
        <v>303</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1860</v>
      </c>
      <c r="C40" s="1193">
        <f>ROUND(D5*C22*C23*C24*C28*F40,0)</f>
        <v>1213</v>
      </c>
      <c r="D40" s="1331"/>
      <c r="E40" s="1193">
        <f t="shared" si="4"/>
        <v>0</v>
      </c>
      <c r="F40" s="1330">
        <f>SUMIF(修正!A57:A68,G2,修正!E57:E68)</f>
        <v>0.2</v>
      </c>
      <c r="G40" s="1193">
        <f>ROUND(IF(E2="工业",C40*$M$42,C40*$M$41),0)</f>
        <v>303</v>
      </c>
      <c r="H40" s="1193">
        <f t="shared" si="5"/>
        <v>0</v>
      </c>
      <c r="I40" s="1193">
        <f t="shared" si="6"/>
        <v>0</v>
      </c>
      <c r="J40" s="1461"/>
      <c r="L40" s="1462" t="s">
        <v>1861</v>
      </c>
      <c r="M40" s="1463"/>
      <c r="Z40" s="1354"/>
      <c r="AA40" s="1354"/>
      <c r="AB40" s="1354"/>
      <c r="AC40" s="1354"/>
      <c r="AD40" s="1354"/>
      <c r="AE40" s="1354"/>
      <c r="AF40" s="1354"/>
      <c r="AG40" s="1354"/>
      <c r="AH40" s="1354"/>
      <c r="AI40" s="1354"/>
      <c r="AJ40" s="1354"/>
    </row>
    <row r="41" s="1183" customFormat="1" ht="13" spans="1:36">
      <c r="A41" s="1351"/>
      <c r="B41" s="1241" t="s">
        <v>1862</v>
      </c>
      <c r="C41" s="1193">
        <f>ROUND(D5*C22*C23*C44*C28*F41,0)</f>
        <v>1150</v>
      </c>
      <c r="D41" s="1331"/>
      <c r="E41" s="1193">
        <f t="shared" si="4"/>
        <v>0</v>
      </c>
      <c r="F41" s="1330">
        <f>SUMIF(修正!A57:A68,G2,修正!F57:F68)</f>
        <v>0.2</v>
      </c>
      <c r="G41" s="1193">
        <f>ROUND(IF(E2="工业",C41*$M$42,C41*$M$41),0)</f>
        <v>288</v>
      </c>
      <c r="H41" s="1193">
        <f t="shared" si="5"/>
        <v>0</v>
      </c>
      <c r="I41" s="1193">
        <f t="shared" si="6"/>
        <v>0</v>
      </c>
      <c r="J41" s="1461"/>
      <c r="L41" s="1464" t="s">
        <v>1863</v>
      </c>
      <c r="M41" s="1465">
        <v>0.25</v>
      </c>
      <c r="Z41" s="1354"/>
      <c r="AA41" s="1354"/>
      <c r="AB41" s="1354"/>
      <c r="AC41" s="1354"/>
      <c r="AD41" s="1354"/>
      <c r="AE41" s="1354"/>
      <c r="AF41" s="1354"/>
      <c r="AG41" s="1354"/>
      <c r="AH41" s="1354"/>
      <c r="AI41" s="1354"/>
      <c r="AJ41" s="1354"/>
    </row>
    <row r="42" s="1183" customFormat="1" ht="13.75" spans="1:36">
      <c r="A42" s="1335"/>
      <c r="B42" s="1352" t="s">
        <v>1864</v>
      </c>
      <c r="C42" s="1276">
        <f>ROUND(D5*C22*C23*C44*C28*F42,0)</f>
        <v>575</v>
      </c>
      <c r="D42" s="1337"/>
      <c r="E42" s="1276">
        <f t="shared" si="4"/>
        <v>0</v>
      </c>
      <c r="F42" s="1353">
        <f>SUMIF(修正!A57:A68,G2,修正!G57:G68)</f>
        <v>0.1</v>
      </c>
      <c r="G42" s="1276">
        <f>ROUND(IF(E2="工业",C42*$M$42,C42*$M$41),0)</f>
        <v>144</v>
      </c>
      <c r="H42" s="1276">
        <f t="shared" si="5"/>
        <v>0</v>
      </c>
      <c r="I42" s="1276">
        <f t="shared" si="6"/>
        <v>0</v>
      </c>
      <c r="J42" s="1466"/>
      <c r="L42" s="1467" t="s">
        <v>1840</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1865</v>
      </c>
      <c r="C44" s="626">
        <f>ROUND(POWER(1+E44,H44-G44)*(POWER(1+E44,G44)-1)/(POWER(1+E44,H44)-1),4)</f>
        <v>0.7289</v>
      </c>
      <c r="D44" s="1193" t="s">
        <v>1814</v>
      </c>
      <c r="E44" s="1356">
        <f>G24</f>
        <v>0.055</v>
      </c>
      <c r="F44" s="1193" t="s">
        <v>1815</v>
      </c>
      <c r="G44" s="1357">
        <f>I24</f>
        <v>21.21</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1866</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1867</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1868</v>
      </c>
      <c r="B49" s="1369" t="s">
        <v>1869</v>
      </c>
      <c r="C49" s="1369" t="s">
        <v>1870</v>
      </c>
      <c r="D49" s="1369" t="s">
        <v>1871</v>
      </c>
      <c r="E49" s="1370" t="s">
        <v>1872</v>
      </c>
      <c r="F49" s="1371" t="s">
        <v>1873</v>
      </c>
      <c r="G49" s="1369" t="s">
        <v>1690</v>
      </c>
      <c r="H49" s="1372" t="s">
        <v>1874</v>
      </c>
      <c r="I49" s="1369" t="s">
        <v>1875</v>
      </c>
      <c r="J49" s="745" t="s">
        <v>1233</v>
      </c>
      <c r="K49" s="745" t="s">
        <v>1234</v>
      </c>
      <c r="L49" s="745" t="s">
        <v>1235</v>
      </c>
      <c r="M49" s="745" t="s">
        <v>1236</v>
      </c>
      <c r="N49" s="745" t="s">
        <v>1237</v>
      </c>
      <c r="AA49" s="1354"/>
      <c r="AB49" s="1354"/>
      <c r="AC49" s="1354"/>
      <c r="AD49" s="1354"/>
      <c r="AE49" s="1354"/>
      <c r="AF49" s="1354"/>
      <c r="AG49" s="1354"/>
      <c r="AH49" s="1354"/>
      <c r="AI49" s="1354"/>
      <c r="AJ49" s="1354"/>
      <c r="AK49" s="1354"/>
    </row>
    <row r="50" s="1183" customFormat="1" ht="39" spans="1:37">
      <c r="A50" s="1368" t="s">
        <v>1876</v>
      </c>
      <c r="B50" s="1373" t="str">
        <f>估价对象房地状况!C4</f>
        <v>估价对象位于XX商圈，周边商业氛围成熟，人流量大，商业繁华度好</v>
      </c>
      <c r="C50" s="1246"/>
      <c r="D50" s="1374">
        <f t="shared" ref="D50:D58" si="7">SUMIF($J$49:$N$49,C50,J50:N50)</f>
        <v>0</v>
      </c>
      <c r="E50" s="1375">
        <f>ROUND(SUM(D50:D58),4)</f>
        <v>0</v>
      </c>
      <c r="F50" s="959">
        <f>IF(E2="商业",SUMIF(L1:L12,G2,N1:N12),"——")</f>
        <v>0.144</v>
      </c>
      <c r="G50" s="1376">
        <f>H50</f>
        <v>0.0216</v>
      </c>
      <c r="H50" s="1377">
        <f t="shared" ref="H50:H58" si="8">IFERROR(ROUNDDOWN($F$50*I50/2,4),"——")</f>
        <v>0.0216</v>
      </c>
      <c r="I50" s="1469">
        <v>0.3</v>
      </c>
      <c r="J50" s="1470">
        <f t="shared" ref="J50:J58" si="9">K50+$G50</f>
        <v>0.0432</v>
      </c>
      <c r="K50" s="1470">
        <f t="shared" ref="K50:K58" si="10">$L50+$G50</f>
        <v>0.0216</v>
      </c>
      <c r="L50" s="1470">
        <v>0</v>
      </c>
      <c r="M50" s="1470">
        <f t="shared" ref="M50:N58" si="11">L50-$G50</f>
        <v>-0.0216</v>
      </c>
      <c r="N50" s="1470">
        <f t="shared" si="11"/>
        <v>-0.0432</v>
      </c>
      <c r="AA50" s="1354"/>
      <c r="AB50" s="1354"/>
      <c r="AC50" s="1354"/>
      <c r="AD50" s="1354"/>
      <c r="AE50" s="1354"/>
      <c r="AF50" s="1354"/>
      <c r="AG50" s="1354"/>
      <c r="AH50" s="1354"/>
      <c r="AI50" s="1354"/>
      <c r="AJ50" s="1354"/>
      <c r="AK50" s="1354"/>
    </row>
    <row r="51" s="1183" customFormat="1" ht="52" spans="1:37">
      <c r="A51" s="1368" t="s">
        <v>1877</v>
      </c>
      <c r="B51" s="1369" t="str">
        <f>估价对象房地状况!C18</f>
        <v>估价对象周边道路状况、公共交通通达情况、停车便捷程度，综合评价交通便捷度较好</v>
      </c>
      <c r="C51" s="1246"/>
      <c r="D51" s="1374">
        <f t="shared" si="7"/>
        <v>0</v>
      </c>
      <c r="E51" s="1378"/>
      <c r="F51" s="959"/>
      <c r="G51" s="1376">
        <f t="shared" ref="G51:G58" si="12">H51</f>
        <v>0.0158</v>
      </c>
      <c r="H51" s="1377">
        <f t="shared" si="8"/>
        <v>0.0158</v>
      </c>
      <c r="I51" s="1469">
        <v>0.22</v>
      </c>
      <c r="J51" s="1470">
        <f t="shared" si="9"/>
        <v>0.0316</v>
      </c>
      <c r="K51" s="1470">
        <f t="shared" si="10"/>
        <v>0.0158</v>
      </c>
      <c r="L51" s="1470">
        <v>0</v>
      </c>
      <c r="M51" s="1470">
        <f t="shared" si="11"/>
        <v>-0.0158</v>
      </c>
      <c r="N51" s="1470">
        <f t="shared" si="11"/>
        <v>-0.0316</v>
      </c>
      <c r="AA51" s="1354"/>
      <c r="AB51" s="1354"/>
      <c r="AC51" s="1354"/>
      <c r="AD51" s="1354"/>
      <c r="AE51" s="1354"/>
      <c r="AF51" s="1354"/>
      <c r="AG51" s="1354"/>
      <c r="AH51" s="1354"/>
      <c r="AI51" s="1354"/>
      <c r="AJ51" s="1354"/>
      <c r="AK51" s="1354"/>
    </row>
    <row r="52" s="1183" customFormat="1" ht="26" spans="1:37">
      <c r="A52" s="1379" t="s">
        <v>1878</v>
      </c>
      <c r="B52" s="1369">
        <f>估价对象房地状况!C19</f>
        <v>0</v>
      </c>
      <c r="C52" s="1246"/>
      <c r="D52" s="1374">
        <f t="shared" si="7"/>
        <v>0</v>
      </c>
      <c r="E52" s="1378"/>
      <c r="F52" s="959"/>
      <c r="G52" s="1376">
        <f t="shared" si="12"/>
        <v>0.0086</v>
      </c>
      <c r="H52" s="1377">
        <f t="shared" si="8"/>
        <v>0.0086</v>
      </c>
      <c r="I52" s="1469">
        <v>0.12</v>
      </c>
      <c r="J52" s="1470">
        <f t="shared" si="9"/>
        <v>0.0172</v>
      </c>
      <c r="K52" s="1470">
        <f t="shared" si="10"/>
        <v>0.0086</v>
      </c>
      <c r="L52" s="1470">
        <v>0</v>
      </c>
      <c r="M52" s="1470">
        <f t="shared" si="11"/>
        <v>-0.0086</v>
      </c>
      <c r="N52" s="1470">
        <f t="shared" si="11"/>
        <v>-0.0172</v>
      </c>
      <c r="AA52" s="1354"/>
      <c r="AB52" s="1354"/>
      <c r="AC52" s="1354"/>
      <c r="AD52" s="1354"/>
      <c r="AE52" s="1354"/>
      <c r="AF52" s="1354"/>
      <c r="AG52" s="1354"/>
      <c r="AH52" s="1354"/>
      <c r="AI52" s="1354"/>
      <c r="AJ52" s="1354"/>
      <c r="AK52" s="1354"/>
    </row>
    <row r="53" s="1183" customFormat="1" ht="39" spans="1:37">
      <c r="A53" s="1368" t="s">
        <v>1879</v>
      </c>
      <c r="B53" s="1380" t="s">
        <v>1880</v>
      </c>
      <c r="C53" s="1246"/>
      <c r="D53" s="1374">
        <f t="shared" si="7"/>
        <v>0</v>
      </c>
      <c r="E53" s="1378"/>
      <c r="F53" s="959"/>
      <c r="G53" s="1376">
        <f t="shared" si="12"/>
        <v>0.0036</v>
      </c>
      <c r="H53" s="1377">
        <f t="shared" si="8"/>
        <v>0.0036</v>
      </c>
      <c r="I53" s="1469">
        <v>0.05</v>
      </c>
      <c r="J53" s="1470">
        <f t="shared" si="9"/>
        <v>0.0072</v>
      </c>
      <c r="K53" s="1470">
        <f t="shared" si="10"/>
        <v>0.0036</v>
      </c>
      <c r="L53" s="1470">
        <v>0</v>
      </c>
      <c r="M53" s="1470">
        <f t="shared" si="11"/>
        <v>-0.0036</v>
      </c>
      <c r="N53" s="1470">
        <f t="shared" si="11"/>
        <v>-0.0072</v>
      </c>
      <c r="AA53" s="1354"/>
      <c r="AB53" s="1354"/>
      <c r="AC53" s="1354"/>
      <c r="AD53" s="1354"/>
      <c r="AE53" s="1354"/>
      <c r="AF53" s="1354"/>
      <c r="AG53" s="1354"/>
      <c r="AH53" s="1354"/>
      <c r="AI53" s="1354"/>
      <c r="AJ53" s="1354"/>
      <c r="AK53" s="1354"/>
    </row>
    <row r="54" s="1183" customFormat="1" ht="14" spans="1:37">
      <c r="A54" s="1368" t="s">
        <v>1881</v>
      </c>
      <c r="B54" s="1369">
        <f>估价对象房地状况!C24</f>
        <v>0</v>
      </c>
      <c r="C54" s="1246"/>
      <c r="D54" s="1374">
        <f t="shared" si="7"/>
        <v>0</v>
      </c>
      <c r="E54" s="1378"/>
      <c r="F54" s="959"/>
      <c r="G54" s="1376">
        <f t="shared" si="12"/>
        <v>0.0057</v>
      </c>
      <c r="H54" s="1377">
        <f t="shared" si="8"/>
        <v>0.0057</v>
      </c>
      <c r="I54" s="1469">
        <v>0.08</v>
      </c>
      <c r="J54" s="1470">
        <f t="shared" si="9"/>
        <v>0.0114</v>
      </c>
      <c r="K54" s="1470">
        <f t="shared" si="10"/>
        <v>0.0057</v>
      </c>
      <c r="L54" s="1470">
        <v>0</v>
      </c>
      <c r="M54" s="1470">
        <f t="shared" si="11"/>
        <v>-0.0057</v>
      </c>
      <c r="N54" s="1470">
        <f t="shared" si="11"/>
        <v>-0.0114</v>
      </c>
      <c r="AA54" s="1354"/>
      <c r="AB54" s="1354"/>
      <c r="AC54" s="1354"/>
      <c r="AD54" s="1354"/>
      <c r="AE54" s="1354"/>
      <c r="AF54" s="1354"/>
      <c r="AG54" s="1354"/>
      <c r="AH54" s="1354"/>
      <c r="AI54" s="1354"/>
      <c r="AJ54" s="1354"/>
      <c r="AK54" s="1354"/>
    </row>
    <row r="55" s="1183" customFormat="1" ht="26" spans="1:37">
      <c r="A55" s="1368" t="s">
        <v>1882</v>
      </c>
      <c r="B55" s="1381" t="s">
        <v>1883</v>
      </c>
      <c r="C55" s="1246"/>
      <c r="D55" s="1374">
        <f t="shared" si="7"/>
        <v>0</v>
      </c>
      <c r="E55" s="1378"/>
      <c r="F55" s="959"/>
      <c r="G55" s="1376">
        <f t="shared" si="12"/>
        <v>0.0036</v>
      </c>
      <c r="H55" s="1377">
        <f t="shared" si="8"/>
        <v>0.0036</v>
      </c>
      <c r="I55" s="1469">
        <v>0.05</v>
      </c>
      <c r="J55" s="1470">
        <f t="shared" si="9"/>
        <v>0.0072</v>
      </c>
      <c r="K55" s="1470">
        <f t="shared" si="10"/>
        <v>0.0036</v>
      </c>
      <c r="L55" s="1470">
        <v>0</v>
      </c>
      <c r="M55" s="1470">
        <f t="shared" si="11"/>
        <v>-0.0036</v>
      </c>
      <c r="N55" s="1470">
        <f t="shared" si="11"/>
        <v>-0.0072</v>
      </c>
      <c r="AA55" s="1354"/>
      <c r="AB55" s="1354"/>
      <c r="AC55" s="1354"/>
      <c r="AD55" s="1354"/>
      <c r="AE55" s="1354"/>
      <c r="AF55" s="1354"/>
      <c r="AG55" s="1354"/>
      <c r="AH55" s="1354"/>
      <c r="AI55" s="1354"/>
      <c r="AJ55" s="1354"/>
      <c r="AK55" s="1354"/>
    </row>
    <row r="56" s="1183" customFormat="1" ht="26" spans="1:37">
      <c r="A56" s="1382" t="s">
        <v>1884</v>
      </c>
      <c r="B56" s="1383" t="str">
        <f>估价对象房地状况!C21</f>
        <v>估价对象所在区域公共配套设施齐备情况</v>
      </c>
      <c r="C56" s="1246"/>
      <c r="D56" s="1374">
        <f t="shared" si="7"/>
        <v>0</v>
      </c>
      <c r="E56" s="1378"/>
      <c r="F56" s="959"/>
      <c r="G56" s="1376">
        <f t="shared" si="12"/>
        <v>0.0036</v>
      </c>
      <c r="H56" s="1377">
        <f t="shared" si="8"/>
        <v>0.0036</v>
      </c>
      <c r="I56" s="1469">
        <v>0.05</v>
      </c>
      <c r="J56" s="1470">
        <f t="shared" si="9"/>
        <v>0.0072</v>
      </c>
      <c r="K56" s="1470">
        <f t="shared" si="10"/>
        <v>0.0036</v>
      </c>
      <c r="L56" s="1470">
        <v>0</v>
      </c>
      <c r="M56" s="1470">
        <f t="shared" si="11"/>
        <v>-0.0036</v>
      </c>
      <c r="N56" s="1470">
        <f t="shared" si="11"/>
        <v>-0.0072</v>
      </c>
      <c r="AA56" s="1354"/>
      <c r="AB56" s="1354"/>
      <c r="AC56" s="1354"/>
      <c r="AD56" s="1354"/>
      <c r="AE56" s="1354"/>
      <c r="AF56" s="1354"/>
      <c r="AG56" s="1354"/>
      <c r="AH56" s="1354"/>
      <c r="AI56" s="1354"/>
      <c r="AJ56" s="1354"/>
      <c r="AK56" s="1354"/>
    </row>
    <row r="57" s="1183" customFormat="1" ht="26" spans="1:37">
      <c r="A57" s="1382" t="s">
        <v>1885</v>
      </c>
      <c r="B57" s="1369" t="str">
        <f>估价对象房地状况!C22</f>
        <v>估价对象所在区域基础设施水平</v>
      </c>
      <c r="C57" s="1246"/>
      <c r="D57" s="1374">
        <f t="shared" si="7"/>
        <v>0</v>
      </c>
      <c r="E57" s="1378"/>
      <c r="F57" s="959"/>
      <c r="G57" s="1376">
        <f t="shared" si="12"/>
        <v>0.0057</v>
      </c>
      <c r="H57" s="1377">
        <f t="shared" si="8"/>
        <v>0.0057</v>
      </c>
      <c r="I57" s="1469">
        <v>0.08</v>
      </c>
      <c r="J57" s="1470">
        <f t="shared" si="9"/>
        <v>0.0114</v>
      </c>
      <c r="K57" s="1470">
        <f t="shared" si="10"/>
        <v>0.0057</v>
      </c>
      <c r="L57" s="1470">
        <v>0</v>
      </c>
      <c r="M57" s="1470">
        <f t="shared" si="11"/>
        <v>-0.0057</v>
      </c>
      <c r="N57" s="1470">
        <f t="shared" si="11"/>
        <v>-0.0114</v>
      </c>
      <c r="AA57" s="1354"/>
      <c r="AB57" s="1354"/>
      <c r="AC57" s="1354"/>
      <c r="AD57" s="1354"/>
      <c r="AE57" s="1354"/>
      <c r="AF57" s="1354"/>
      <c r="AG57" s="1354"/>
      <c r="AH57" s="1354"/>
      <c r="AI57" s="1354"/>
      <c r="AJ57" s="1354"/>
      <c r="AK57" s="1354"/>
    </row>
    <row r="58" s="1183" customFormat="1" ht="26.75" spans="1:37">
      <c r="A58" s="1384" t="s">
        <v>1886</v>
      </c>
      <c r="B58" s="1385" t="str">
        <f>估价对象房地状况!C20</f>
        <v>区域自然环境：；人文环境；综合评价环境状况一般</v>
      </c>
      <c r="C58" s="1246"/>
      <c r="D58" s="1374">
        <f t="shared" si="7"/>
        <v>0</v>
      </c>
      <c r="E58" s="1386"/>
      <c r="F58" s="959"/>
      <c r="G58" s="1376">
        <f t="shared" si="12"/>
        <v>0.0036</v>
      </c>
      <c r="H58" s="1377">
        <f t="shared" si="8"/>
        <v>0.0036</v>
      </c>
      <c r="I58" s="1471">
        <v>0.05</v>
      </c>
      <c r="J58" s="1470">
        <f t="shared" si="9"/>
        <v>0.0072</v>
      </c>
      <c r="K58" s="1470">
        <f t="shared" si="10"/>
        <v>0.0036</v>
      </c>
      <c r="L58" s="1470">
        <v>0</v>
      </c>
      <c r="M58" s="1470">
        <f t="shared" si="11"/>
        <v>-0.0036</v>
      </c>
      <c r="N58" s="1470">
        <f t="shared" si="11"/>
        <v>-0.0072</v>
      </c>
      <c r="AA58" s="1354"/>
      <c r="AB58" s="1354"/>
      <c r="AC58" s="1354"/>
      <c r="AD58" s="1354"/>
      <c r="AE58" s="1354"/>
      <c r="AF58" s="1354"/>
      <c r="AG58" s="1354"/>
      <c r="AH58" s="1354"/>
      <c r="AI58" s="1354"/>
      <c r="AJ58" s="1354"/>
      <c r="AK58" s="1354"/>
    </row>
    <row r="59" s="1183" customFormat="1" ht="14" spans="1:37">
      <c r="A59" s="1362" t="s">
        <v>1887</v>
      </c>
      <c r="B59" s="1363" t="e">
        <f>1+E61</f>
        <v>#VALUE!</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1868</v>
      </c>
      <c r="B60" s="1369"/>
      <c r="C60" s="1369" t="s">
        <v>1870</v>
      </c>
      <c r="D60" s="1369" t="s">
        <v>1871</v>
      </c>
      <c r="E60" s="1370" t="s">
        <v>1872</v>
      </c>
      <c r="F60" s="1371" t="s">
        <v>1888</v>
      </c>
      <c r="G60" s="1369" t="s">
        <v>1690</v>
      </c>
      <c r="H60" s="1372" t="s">
        <v>1874</v>
      </c>
      <c r="I60" s="1369" t="s">
        <v>1875</v>
      </c>
      <c r="J60" s="745" t="s">
        <v>1233</v>
      </c>
      <c r="K60" s="745" t="s">
        <v>1234</v>
      </c>
      <c r="L60" s="745" t="s">
        <v>1235</v>
      </c>
      <c r="M60" s="745" t="s">
        <v>1236</v>
      </c>
      <c r="N60" s="745" t="s">
        <v>1237</v>
      </c>
      <c r="AA60" s="1354"/>
      <c r="AB60" s="1354"/>
      <c r="AC60" s="1354"/>
      <c r="AD60" s="1354"/>
      <c r="AE60" s="1354"/>
      <c r="AF60" s="1354"/>
      <c r="AG60" s="1354"/>
      <c r="AH60" s="1354"/>
      <c r="AI60" s="1354"/>
      <c r="AJ60" s="1354"/>
      <c r="AK60" s="1354"/>
    </row>
    <row r="61" s="1183" customFormat="1" ht="39" spans="1:37">
      <c r="A61" s="1368" t="s">
        <v>1889</v>
      </c>
      <c r="B61" s="1373" t="str">
        <f>估价对象房地状况!C17</f>
        <v>估价对象位于XX商圈，周边办公楼项目较多，入驻率高，办公集聚程度较好</v>
      </c>
      <c r="C61" s="1246" t="s">
        <v>1890</v>
      </c>
      <c r="D61" s="1374">
        <f t="shared" ref="D61:D69" si="13">SUMIF($J$60:$N$60,C61,J61:N61)</f>
        <v>0</v>
      </c>
      <c r="E61" s="1375" t="e">
        <f>ROUND(SUM(D61:D69),4)</f>
        <v>#VALUE!</v>
      </c>
      <c r="F61" s="959" t="str">
        <f>IF(E2="办公",SUMIF(L1:L12,G2,N1:N12),"——")</f>
        <v>——</v>
      </c>
      <c r="G61" s="1376" t="str">
        <f>H61</f>
        <v>——</v>
      </c>
      <c r="H61" s="1377" t="str">
        <f t="shared" ref="H61:H69" si="14">IFERROR(ROUNDDOWN($F$61*I61/2,4),"——")</f>
        <v>——</v>
      </c>
      <c r="I61" s="1469">
        <v>0.25</v>
      </c>
      <c r="J61" s="1470" t="e">
        <f t="shared" ref="J61:J69" si="15">K61+$G61</f>
        <v>#VALUE!</v>
      </c>
      <c r="K61" s="1470" t="e">
        <f t="shared" ref="K61:K69" si="16">$L61+$G61</f>
        <v>#VALUE!</v>
      </c>
      <c r="L61" s="1470">
        <v>0</v>
      </c>
      <c r="M61" s="1470" t="e">
        <f t="shared" ref="M61:N69" si="17">L61-$G61</f>
        <v>#VALUE!</v>
      </c>
      <c r="N61" s="1470" t="e">
        <f t="shared" si="17"/>
        <v>#VALUE!</v>
      </c>
      <c r="AA61" s="1354"/>
      <c r="AB61" s="1354"/>
      <c r="AC61" s="1354"/>
      <c r="AD61" s="1354"/>
      <c r="AE61" s="1354"/>
      <c r="AF61" s="1354"/>
      <c r="AG61" s="1354"/>
      <c r="AH61" s="1354"/>
      <c r="AI61" s="1354"/>
      <c r="AJ61" s="1354"/>
      <c r="AK61" s="1354"/>
    </row>
    <row r="62" s="1183" customFormat="1" ht="52" spans="1:37">
      <c r="A62" s="1368" t="s">
        <v>1877</v>
      </c>
      <c r="B62" s="1369" t="str">
        <f>估价对象房地状况!C18</f>
        <v>估价对象周边道路状况、公共交通通达情况、停车便捷程度，综合评价交通便捷度较好</v>
      </c>
      <c r="C62" s="1246" t="s">
        <v>1261</v>
      </c>
      <c r="D62" s="1374" t="e">
        <f t="shared" si="13"/>
        <v>#VALUE!</v>
      </c>
      <c r="E62" s="1378"/>
      <c r="F62" s="959"/>
      <c r="G62" s="1376" t="str">
        <f t="shared" ref="G62:G69" si="18">H62</f>
        <v>——</v>
      </c>
      <c r="H62" s="1377" t="str">
        <f t="shared" si="14"/>
        <v>——</v>
      </c>
      <c r="I62" s="1469">
        <v>0.26</v>
      </c>
      <c r="J62" s="1470" t="e">
        <f t="shared" si="15"/>
        <v>#VALUE!</v>
      </c>
      <c r="K62" s="1470" t="e">
        <f t="shared" si="16"/>
        <v>#VALUE!</v>
      </c>
      <c r="L62" s="1470">
        <v>0</v>
      </c>
      <c r="M62" s="1470" t="e">
        <f t="shared" si="17"/>
        <v>#VALUE!</v>
      </c>
      <c r="N62" s="1470" t="e">
        <f t="shared" si="17"/>
        <v>#VALUE!</v>
      </c>
      <c r="AA62" s="1354"/>
      <c r="AB62" s="1354"/>
      <c r="AC62" s="1354"/>
      <c r="AD62" s="1354"/>
      <c r="AE62" s="1354"/>
      <c r="AF62" s="1354"/>
      <c r="AG62" s="1354"/>
      <c r="AH62" s="1354"/>
      <c r="AI62" s="1354"/>
      <c r="AJ62" s="1354"/>
      <c r="AK62" s="1354"/>
    </row>
    <row r="63" s="1183" customFormat="1" ht="26" spans="1:37">
      <c r="A63" s="1379" t="s">
        <v>1878</v>
      </c>
      <c r="B63" s="1369">
        <f>估价对象房地状况!C19</f>
        <v>0</v>
      </c>
      <c r="C63" s="1246" t="s">
        <v>1261</v>
      </c>
      <c r="D63" s="1374" t="e">
        <f t="shared" si="13"/>
        <v>#VALUE!</v>
      </c>
      <c r="E63" s="1378"/>
      <c r="F63" s="959"/>
      <c r="G63" s="1376" t="str">
        <f t="shared" si="18"/>
        <v>——</v>
      </c>
      <c r="H63" s="1377" t="str">
        <f t="shared" si="14"/>
        <v>——</v>
      </c>
      <c r="I63" s="1469">
        <v>0.11</v>
      </c>
      <c r="J63" s="1470" t="e">
        <f t="shared" si="15"/>
        <v>#VALUE!</v>
      </c>
      <c r="K63" s="1470" t="e">
        <f t="shared" si="16"/>
        <v>#VALUE!</v>
      </c>
      <c r="L63" s="1470">
        <v>0</v>
      </c>
      <c r="M63" s="1470" t="e">
        <f t="shared" si="17"/>
        <v>#VALUE!</v>
      </c>
      <c r="N63" s="1470" t="e">
        <f t="shared" si="17"/>
        <v>#VALUE!</v>
      </c>
      <c r="AA63" s="1354"/>
      <c r="AB63" s="1354"/>
      <c r="AC63" s="1354"/>
      <c r="AD63" s="1354"/>
      <c r="AE63" s="1354"/>
      <c r="AF63" s="1354"/>
      <c r="AG63" s="1354"/>
      <c r="AH63" s="1354"/>
      <c r="AI63" s="1354"/>
      <c r="AJ63" s="1354"/>
      <c r="AK63" s="1354"/>
    </row>
    <row r="64" s="1183" customFormat="1" ht="39" spans="1:37">
      <c r="A64" s="1368" t="s">
        <v>1879</v>
      </c>
      <c r="B64" s="1380" t="s">
        <v>1880</v>
      </c>
      <c r="C64" s="1246" t="s">
        <v>1890</v>
      </c>
      <c r="D64" s="1374">
        <f t="shared" si="13"/>
        <v>0</v>
      </c>
      <c r="E64" s="1378"/>
      <c r="F64" s="959"/>
      <c r="G64" s="1376" t="str">
        <f t="shared" si="18"/>
        <v>——</v>
      </c>
      <c r="H64" s="1377" t="str">
        <f t="shared" si="14"/>
        <v>——</v>
      </c>
      <c r="I64" s="1469">
        <v>0.05</v>
      </c>
      <c r="J64" s="1470" t="e">
        <f t="shared" si="15"/>
        <v>#VALUE!</v>
      </c>
      <c r="K64" s="1470" t="e">
        <f t="shared" si="16"/>
        <v>#VALUE!</v>
      </c>
      <c r="L64" s="1470">
        <v>0</v>
      </c>
      <c r="M64" s="1470" t="e">
        <f t="shared" si="17"/>
        <v>#VALUE!</v>
      </c>
      <c r="N64" s="1470" t="e">
        <f t="shared" si="17"/>
        <v>#VALUE!</v>
      </c>
      <c r="AA64" s="1354"/>
      <c r="AB64" s="1354"/>
      <c r="AC64" s="1354"/>
      <c r="AD64" s="1354"/>
      <c r="AE64" s="1354"/>
      <c r="AF64" s="1354"/>
      <c r="AG64" s="1354"/>
      <c r="AH64" s="1354"/>
      <c r="AI64" s="1354"/>
      <c r="AJ64" s="1354"/>
      <c r="AK64" s="1354"/>
    </row>
    <row r="65" s="1183" customFormat="1" ht="14" spans="1:37">
      <c r="A65" s="1368" t="s">
        <v>1881</v>
      </c>
      <c r="B65" s="1369">
        <f>估价对象房地状况!C24</f>
        <v>0</v>
      </c>
      <c r="C65" s="1246" t="s">
        <v>1890</v>
      </c>
      <c r="D65" s="1374">
        <f t="shared" si="13"/>
        <v>0</v>
      </c>
      <c r="E65" s="1378"/>
      <c r="F65" s="959"/>
      <c r="G65" s="1376" t="str">
        <f t="shared" si="18"/>
        <v>——</v>
      </c>
      <c r="H65" s="1377" t="str">
        <f t="shared" si="14"/>
        <v>——</v>
      </c>
      <c r="I65" s="1469">
        <v>0.05</v>
      </c>
      <c r="J65" s="1470" t="e">
        <f t="shared" si="15"/>
        <v>#VALUE!</v>
      </c>
      <c r="K65" s="1470" t="e">
        <f t="shared" si="16"/>
        <v>#VALUE!</v>
      </c>
      <c r="L65" s="1470">
        <v>0</v>
      </c>
      <c r="M65" s="1470" t="e">
        <f t="shared" si="17"/>
        <v>#VALUE!</v>
      </c>
      <c r="N65" s="1470" t="e">
        <f t="shared" si="17"/>
        <v>#VALUE!</v>
      </c>
      <c r="AA65" s="1354"/>
      <c r="AB65" s="1354"/>
      <c r="AC65" s="1354"/>
      <c r="AD65" s="1354"/>
      <c r="AE65" s="1354"/>
      <c r="AF65" s="1354"/>
      <c r="AG65" s="1354"/>
      <c r="AH65" s="1354"/>
      <c r="AI65" s="1354"/>
      <c r="AJ65" s="1354"/>
      <c r="AK65" s="1354"/>
    </row>
    <row r="66" s="1183" customFormat="1" ht="26" spans="1:37">
      <c r="A66" s="1368" t="s">
        <v>1882</v>
      </c>
      <c r="B66" s="1381" t="s">
        <v>1883</v>
      </c>
      <c r="C66" s="1246" t="s">
        <v>1261</v>
      </c>
      <c r="D66" s="1374" t="e">
        <f t="shared" si="13"/>
        <v>#VALUE!</v>
      </c>
      <c r="E66" s="1378"/>
      <c r="F66" s="959"/>
      <c r="G66" s="1376" t="str">
        <f t="shared" si="18"/>
        <v>——</v>
      </c>
      <c r="H66" s="1377" t="str">
        <f t="shared" si="14"/>
        <v>——</v>
      </c>
      <c r="I66" s="1469">
        <v>0.06</v>
      </c>
      <c r="J66" s="1470" t="e">
        <f t="shared" si="15"/>
        <v>#VALUE!</v>
      </c>
      <c r="K66" s="1470" t="e">
        <f t="shared" si="16"/>
        <v>#VALUE!</v>
      </c>
      <c r="L66" s="1470">
        <v>0</v>
      </c>
      <c r="M66" s="1470" t="e">
        <f t="shared" si="17"/>
        <v>#VALUE!</v>
      </c>
      <c r="N66" s="1470" t="e">
        <f t="shared" si="17"/>
        <v>#VALUE!</v>
      </c>
      <c r="AA66" s="1354"/>
      <c r="AB66" s="1354"/>
      <c r="AC66" s="1354"/>
      <c r="AD66" s="1354"/>
      <c r="AE66" s="1354"/>
      <c r="AF66" s="1354"/>
      <c r="AG66" s="1354"/>
      <c r="AH66" s="1354"/>
      <c r="AI66" s="1354"/>
      <c r="AJ66" s="1354"/>
      <c r="AK66" s="1354"/>
    </row>
    <row r="67" s="1183" customFormat="1" ht="26" spans="1:37">
      <c r="A67" s="1368" t="s">
        <v>1884</v>
      </c>
      <c r="B67" s="1383" t="str">
        <f>估价对象房地状况!C21</f>
        <v>估价对象所在区域公共配套设施齐备情况</v>
      </c>
      <c r="C67" s="1246" t="s">
        <v>1261</v>
      </c>
      <c r="D67" s="1374" t="e">
        <f t="shared" si="13"/>
        <v>#VALUE!</v>
      </c>
      <c r="E67" s="1378"/>
      <c r="F67" s="959"/>
      <c r="G67" s="1376" t="str">
        <f t="shared" si="18"/>
        <v>——</v>
      </c>
      <c r="H67" s="1377" t="str">
        <f t="shared" si="14"/>
        <v>——</v>
      </c>
      <c r="I67" s="1469">
        <v>0.06</v>
      </c>
      <c r="J67" s="1470" t="e">
        <f t="shared" si="15"/>
        <v>#VALUE!</v>
      </c>
      <c r="K67" s="1470" t="e">
        <f t="shared" si="16"/>
        <v>#VALUE!</v>
      </c>
      <c r="L67" s="1470">
        <v>0</v>
      </c>
      <c r="M67" s="1470" t="e">
        <f t="shared" si="17"/>
        <v>#VALUE!</v>
      </c>
      <c r="N67" s="1470" t="e">
        <f t="shared" si="17"/>
        <v>#VALUE!</v>
      </c>
      <c r="AA67" s="1354"/>
      <c r="AB67" s="1354"/>
      <c r="AC67" s="1354"/>
      <c r="AD67" s="1354"/>
      <c r="AE67" s="1354"/>
      <c r="AF67" s="1354"/>
      <c r="AG67" s="1354"/>
      <c r="AH67" s="1354"/>
      <c r="AI67" s="1354"/>
      <c r="AJ67" s="1354"/>
      <c r="AK67" s="1354"/>
    </row>
    <row r="68" s="1183" customFormat="1" ht="26" spans="1:37">
      <c r="A68" s="1368" t="s">
        <v>1885</v>
      </c>
      <c r="B68" s="1383" t="str">
        <f>估价对象房地状况!C22</f>
        <v>估价对象所在区域基础设施水平</v>
      </c>
      <c r="C68" s="1246" t="s">
        <v>1891</v>
      </c>
      <c r="D68" s="1374" t="e">
        <f t="shared" si="13"/>
        <v>#VALUE!</v>
      </c>
      <c r="E68" s="1378"/>
      <c r="F68" s="959"/>
      <c r="G68" s="1376" t="str">
        <f t="shared" si="18"/>
        <v>——</v>
      </c>
      <c r="H68" s="1377" t="str">
        <f t="shared" si="14"/>
        <v>——</v>
      </c>
      <c r="I68" s="1469">
        <v>0.09</v>
      </c>
      <c r="J68" s="1470" t="e">
        <f t="shared" si="15"/>
        <v>#VALUE!</v>
      </c>
      <c r="K68" s="1470" t="e">
        <f t="shared" si="16"/>
        <v>#VALUE!</v>
      </c>
      <c r="L68" s="1470">
        <v>0</v>
      </c>
      <c r="M68" s="1470" t="e">
        <f t="shared" si="17"/>
        <v>#VALUE!</v>
      </c>
      <c r="N68" s="1470" t="e">
        <f t="shared" si="17"/>
        <v>#VALUE!</v>
      </c>
      <c r="AA68" s="1354"/>
      <c r="AB68" s="1354"/>
      <c r="AC68" s="1354"/>
      <c r="AD68" s="1354"/>
      <c r="AE68" s="1354"/>
      <c r="AF68" s="1354"/>
      <c r="AG68" s="1354"/>
      <c r="AH68" s="1354"/>
      <c r="AI68" s="1354"/>
      <c r="AJ68" s="1354"/>
      <c r="AK68" s="1354"/>
    </row>
    <row r="69" s="1183" customFormat="1" ht="26.75" spans="1:37">
      <c r="A69" s="1384" t="s">
        <v>1886</v>
      </c>
      <c r="B69" s="1503" t="str">
        <f>估价对象房地状况!C20</f>
        <v>区域自然环境：；人文环境；综合评价环境状况一般</v>
      </c>
      <c r="C69" s="1246" t="s">
        <v>1261</v>
      </c>
      <c r="D69" s="1374" t="e">
        <f t="shared" si="13"/>
        <v>#VALUE!</v>
      </c>
      <c r="E69" s="1386"/>
      <c r="F69" s="959"/>
      <c r="G69" s="1376" t="str">
        <f t="shared" si="18"/>
        <v>——</v>
      </c>
      <c r="H69" s="1377" t="str">
        <f t="shared" si="14"/>
        <v>——</v>
      </c>
      <c r="I69" s="1471">
        <v>0.07</v>
      </c>
      <c r="J69" s="1470" t="e">
        <f t="shared" si="15"/>
        <v>#VALUE!</v>
      </c>
      <c r="K69" s="1470" t="e">
        <f t="shared" si="16"/>
        <v>#VALUE!</v>
      </c>
      <c r="L69" s="1470">
        <v>0</v>
      </c>
      <c r="M69" s="1470" t="e">
        <f t="shared" si="17"/>
        <v>#VALUE!</v>
      </c>
      <c r="N69" s="1470" t="e">
        <f t="shared" si="17"/>
        <v>#VALUE!</v>
      </c>
      <c r="AA69" s="1354"/>
      <c r="AB69" s="1354"/>
      <c r="AC69" s="1354"/>
      <c r="AD69" s="1354"/>
      <c r="AE69" s="1354"/>
      <c r="AF69" s="1354"/>
      <c r="AG69" s="1354"/>
      <c r="AH69" s="1354"/>
      <c r="AI69" s="1354"/>
      <c r="AJ69" s="1354"/>
      <c r="AK69" s="1354"/>
    </row>
    <row r="70" s="1183" customFormat="1" ht="14" spans="1:37">
      <c r="A70" s="1362" t="s">
        <v>1892</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1868</v>
      </c>
      <c r="B71" s="1369"/>
      <c r="C71" s="1369" t="s">
        <v>1870</v>
      </c>
      <c r="D71" s="1369" t="s">
        <v>1871</v>
      </c>
      <c r="E71" s="1370" t="s">
        <v>1872</v>
      </c>
      <c r="F71" s="1371" t="s">
        <v>1888</v>
      </c>
      <c r="G71" s="1369" t="s">
        <v>1690</v>
      </c>
      <c r="H71" s="1372" t="s">
        <v>1874</v>
      </c>
      <c r="I71" s="1369" t="s">
        <v>1875</v>
      </c>
      <c r="J71" s="745" t="s">
        <v>1233</v>
      </c>
      <c r="K71" s="745" t="s">
        <v>1234</v>
      </c>
      <c r="L71" s="745" t="s">
        <v>1235</v>
      </c>
      <c r="M71" s="745" t="s">
        <v>1236</v>
      </c>
      <c r="N71" s="745" t="s">
        <v>1237</v>
      </c>
      <c r="AA71" s="1354"/>
      <c r="AB71" s="1354"/>
      <c r="AC71" s="1354"/>
      <c r="AD71" s="1354"/>
      <c r="AE71" s="1354"/>
      <c r="AF71" s="1354"/>
      <c r="AG71" s="1354"/>
      <c r="AH71" s="1354"/>
      <c r="AI71" s="1354"/>
      <c r="AJ71" s="1354"/>
      <c r="AK71" s="1354"/>
    </row>
    <row r="72" s="1183" customFormat="1" ht="52" spans="1:37">
      <c r="A72" s="1368" t="s">
        <v>1893</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1877</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1878</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1894</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1884</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1885</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1882</v>
      </c>
      <c r="B78" s="1381" t="s">
        <v>1883</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1886</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1895</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1896</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1868</v>
      </c>
      <c r="B82" s="1369"/>
      <c r="C82" s="1369" t="s">
        <v>1870</v>
      </c>
      <c r="D82" s="1369" t="s">
        <v>1871</v>
      </c>
      <c r="E82" s="1370" t="s">
        <v>1872</v>
      </c>
      <c r="F82" s="1371" t="s">
        <v>1888</v>
      </c>
      <c r="G82" s="1369" t="s">
        <v>1690</v>
      </c>
      <c r="H82" s="1372" t="s">
        <v>1874</v>
      </c>
      <c r="I82" s="1369" t="s">
        <v>1875</v>
      </c>
      <c r="J82" s="745" t="s">
        <v>1233</v>
      </c>
      <c r="K82" s="745" t="s">
        <v>1234</v>
      </c>
      <c r="L82" s="745" t="s">
        <v>1235</v>
      </c>
      <c r="M82" s="745" t="s">
        <v>1236</v>
      </c>
      <c r="N82" s="745" t="s">
        <v>1237</v>
      </c>
      <c r="Z82" s="1187"/>
      <c r="AA82" s="1185"/>
      <c r="AG82" s="1189"/>
      <c r="AK82" s="1185"/>
    </row>
    <row r="83" ht="39" spans="1:37">
      <c r="A83" s="1368" t="s">
        <v>1897</v>
      </c>
      <c r="B83" s="1369" t="str">
        <f>估价对象房地状况!G15</f>
        <v>估价对象位于XX开发区，园区建设成熟度XX，产业集聚程度XX</v>
      </c>
      <c r="C83" s="1246" t="s">
        <v>1890</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1877</v>
      </c>
      <c r="B84" s="1369" t="str">
        <f>估价对象房地状况!G16</f>
        <v>估价对象周边道路状况、公共交通通达情况、停车便捷程度，综合评价交通便捷度较好</v>
      </c>
      <c r="C84" s="1246" t="s">
        <v>1261</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1878</v>
      </c>
      <c r="B85" s="1369">
        <f>估价对象房地状况!G17</f>
        <v>0</v>
      </c>
      <c r="C85" s="1246" t="s">
        <v>1261</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1894</v>
      </c>
      <c r="B86" s="1369">
        <f>估价对象房地状况!G22</f>
        <v>0</v>
      </c>
      <c r="C86" s="1246" t="s">
        <v>1898</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1884</v>
      </c>
      <c r="B87" s="1383" t="str">
        <f>估价对象房地状况!G19</f>
        <v>估价对象所在区域公共配套设施齐备情况</v>
      </c>
      <c r="C87" s="1246" t="s">
        <v>1891</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1885</v>
      </c>
      <c r="B88" s="1383" t="str">
        <f>估价对象房地状况!G20</f>
        <v>估价对象所在区域基础设施水平</v>
      </c>
      <c r="C88" s="1246" t="s">
        <v>1891</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1882</v>
      </c>
      <c r="B89" s="1381" t="s">
        <v>1899</v>
      </c>
      <c r="C89" s="1246" t="s">
        <v>1261</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1900</v>
      </c>
      <c r="B90" s="1507" t="str">
        <f>估价对象房地状况!G18</f>
        <v>该园区内是否有污染型企业，绿化情况，卫生条件，整体环境状况判断</v>
      </c>
      <c r="C90" s="1246" t="s">
        <v>1891</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1868</v>
      </c>
      <c r="B92" s="912"/>
      <c r="C92" s="912" t="s">
        <v>1870</v>
      </c>
      <c r="D92" s="912" t="s">
        <v>1871</v>
      </c>
      <c r="E92" s="1484" t="s">
        <v>1872</v>
      </c>
      <c r="F92" s="1515" t="s">
        <v>1888</v>
      </c>
      <c r="G92" s="912" t="s">
        <v>1690</v>
      </c>
      <c r="H92" s="1516" t="s">
        <v>1874</v>
      </c>
      <c r="I92" s="912" t="s">
        <v>1875</v>
      </c>
      <c r="J92" s="744" t="s">
        <v>1233</v>
      </c>
      <c r="K92" s="744" t="s">
        <v>1234</v>
      </c>
      <c r="L92" s="744" t="s">
        <v>1235</v>
      </c>
      <c r="M92" s="744" t="s">
        <v>1236</v>
      </c>
      <c r="N92" s="744" t="s">
        <v>1237</v>
      </c>
    </row>
    <row r="93" ht="14" spans="1:14">
      <c r="A93" s="1379" t="s">
        <v>1901</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1877</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1878</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1879</v>
      </c>
      <c r="B96" s="1522" t="s">
        <v>1880</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1881</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1882</v>
      </c>
      <c r="B98" s="1523" t="s">
        <v>1883</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1884</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1885</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1886</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1902</v>
      </c>
      <c r="B103" s="909"/>
      <c r="C103" s="909"/>
      <c r="D103" s="909"/>
      <c r="E103" s="909"/>
      <c r="F103" s="909"/>
      <c r="G103" s="909"/>
      <c r="H103" s="909"/>
      <c r="I103" s="909"/>
      <c r="J103" s="909"/>
      <c r="K103" s="909"/>
      <c r="L103" s="909"/>
      <c r="M103" s="909"/>
      <c r="N103" s="909"/>
    </row>
    <row r="104" ht="13" spans="1:14">
      <c r="A104" s="1527" t="s">
        <v>1903</v>
      </c>
      <c r="B104" s="1527" t="s">
        <v>1904</v>
      </c>
      <c r="C104" s="1528" t="s">
        <v>1905</v>
      </c>
      <c r="D104" s="1529"/>
      <c r="E104" s="1529"/>
      <c r="F104" s="1529"/>
      <c r="G104" s="1529"/>
      <c r="H104" s="1529"/>
      <c r="I104" s="1529"/>
      <c r="J104" s="1550"/>
      <c r="K104" s="1551"/>
      <c r="L104" s="1551"/>
      <c r="M104" s="1551"/>
      <c r="N104" s="1551"/>
    </row>
    <row r="105" ht="13" spans="1:14">
      <c r="A105" s="1527"/>
      <c r="B105" s="1527"/>
      <c r="C105" s="1527" t="s">
        <v>1749</v>
      </c>
      <c r="D105" s="1527" t="s">
        <v>1750</v>
      </c>
      <c r="E105" s="1527" t="s">
        <v>1751</v>
      </c>
      <c r="F105" s="1527" t="s">
        <v>1752</v>
      </c>
      <c r="G105" s="1527" t="s">
        <v>1753</v>
      </c>
      <c r="H105" s="1527" t="s">
        <v>1754</v>
      </c>
      <c r="I105" s="1527" t="s">
        <v>1755</v>
      </c>
      <c r="J105" s="1527" t="s">
        <v>1756</v>
      </c>
      <c r="K105" s="1527" t="s">
        <v>1757</v>
      </c>
      <c r="L105" s="1527" t="s">
        <v>1758</v>
      </c>
      <c r="M105" s="1527" t="s">
        <v>1759</v>
      </c>
      <c r="N105" s="1527" t="s">
        <v>1760</v>
      </c>
    </row>
    <row r="106" spans="1:14">
      <c r="A106" s="1530" t="s">
        <v>1906</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1765</v>
      </c>
      <c r="C111" s="1532">
        <f>$I$3</f>
        <v>3</v>
      </c>
      <c r="D111" s="1532">
        <f t="shared" ref="D111:N111" si="35">$I$3</f>
        <v>3</v>
      </c>
      <c r="E111" s="1532">
        <f t="shared" si="35"/>
        <v>3</v>
      </c>
      <c r="F111" s="1532">
        <f t="shared" si="35"/>
        <v>3</v>
      </c>
      <c r="G111" s="1532">
        <f t="shared" si="35"/>
        <v>3</v>
      </c>
      <c r="H111" s="1532">
        <f t="shared" si="35"/>
        <v>3</v>
      </c>
      <c r="I111" s="1532">
        <f t="shared" si="35"/>
        <v>3</v>
      </c>
      <c r="J111" s="1532">
        <f t="shared" si="35"/>
        <v>3</v>
      </c>
      <c r="K111" s="1532">
        <f t="shared" si="35"/>
        <v>3</v>
      </c>
      <c r="L111" s="1532">
        <f t="shared" si="35"/>
        <v>3</v>
      </c>
      <c r="M111" s="1532">
        <f t="shared" si="35"/>
        <v>3</v>
      </c>
      <c r="N111" s="1532">
        <f t="shared" si="35"/>
        <v>3</v>
      </c>
    </row>
    <row r="112" spans="1:14">
      <c r="A112" s="1533"/>
      <c r="B112" s="1527">
        <v>6</v>
      </c>
      <c r="C112" s="1516">
        <f>(-0.5556*(C111^2)-0.2719*C111+8944)*(10^(-4))</f>
        <v>0.89381839</v>
      </c>
      <c r="D112" s="1516">
        <f>(-0.5556*(D111^2)-0.2719*D111+8944)*(10^(-4))</f>
        <v>0.89381839</v>
      </c>
      <c r="E112" s="1516">
        <f>(-0.7912*(E111^2)-11.3794*E111+8482)*(10^(-4))</f>
        <v>0.8440741</v>
      </c>
      <c r="F112" s="1516">
        <f t="shared" ref="F112:I112" si="36">(-0.7912*(F111^2)-11.3794*F111+8482)*(10^(-4))</f>
        <v>0.8440741</v>
      </c>
      <c r="G112" s="1516">
        <f t="shared" si="36"/>
        <v>0.8440741</v>
      </c>
      <c r="H112" s="1516">
        <f t="shared" si="36"/>
        <v>0.8440741</v>
      </c>
      <c r="I112" s="1516">
        <f t="shared" si="36"/>
        <v>0.8440741</v>
      </c>
      <c r="J112" s="1516">
        <f>(-0.989*(J111^2)-63.78*J111+7771)*(10^(-4))</f>
        <v>0.7570759</v>
      </c>
      <c r="K112" s="1516">
        <f t="shared" ref="K112:N112" si="37">(-0.989*(K111^2)-63.78*K111+7771)*(10^(-4))</f>
        <v>0.7570759</v>
      </c>
      <c r="L112" s="1516">
        <f t="shared" si="37"/>
        <v>0.7570759</v>
      </c>
      <c r="M112" s="1516">
        <f t="shared" si="37"/>
        <v>0.7570759</v>
      </c>
      <c r="N112" s="1516">
        <f t="shared" si="37"/>
        <v>0.7570759</v>
      </c>
    </row>
    <row r="113" ht="13" spans="1:14">
      <c r="A113" s="1534" t="s">
        <v>1907</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1908</v>
      </c>
      <c r="B116" s="1537" t="e">
        <f>G3</f>
        <v>#DIV/0!</v>
      </c>
      <c r="C116" s="1538" t="s">
        <v>1909</v>
      </c>
      <c r="D116" s="1539" t="e">
        <f>SUMPRODUCT((A118:A122=F116)*(B117:M117=H116)*B118:M122)</f>
        <v>#DIV/0!</v>
      </c>
      <c r="E116" s="899" t="s">
        <v>1722</v>
      </c>
      <c r="F116" s="1540" t="str">
        <f>E2</f>
        <v>商业</v>
      </c>
      <c r="G116" s="899" t="s">
        <v>1723</v>
      </c>
      <c r="H116" s="1540" t="str">
        <f>G2</f>
        <v>八级</v>
      </c>
      <c r="I116" s="899"/>
      <c r="J116" s="1552"/>
      <c r="K116" s="1552"/>
      <c r="L116" s="1552"/>
      <c r="M116" s="1552"/>
      <c r="N116" s="1535"/>
    </row>
    <row r="117" ht="13" spans="1:14">
      <c r="A117" s="1541"/>
      <c r="B117" s="1542" t="s">
        <v>1910</v>
      </c>
      <c r="C117" s="1542" t="s">
        <v>1911</v>
      </c>
      <c r="D117" s="1542" t="s">
        <v>1912</v>
      </c>
      <c r="E117" s="1543" t="s">
        <v>1913</v>
      </c>
      <c r="F117" s="1543" t="s">
        <v>1914</v>
      </c>
      <c r="G117" s="1543" t="s">
        <v>1915</v>
      </c>
      <c r="H117" s="1544" t="s">
        <v>1916</v>
      </c>
      <c r="I117" s="1544" t="s">
        <v>1917</v>
      </c>
      <c r="J117" s="1553" t="s">
        <v>1918</v>
      </c>
      <c r="K117" s="1553" t="s">
        <v>1919</v>
      </c>
      <c r="L117" s="1553" t="s">
        <v>1920</v>
      </c>
      <c r="M117" s="1554" t="s">
        <v>1921</v>
      </c>
      <c r="N117" s="1535"/>
    </row>
    <row r="118" ht="13" spans="1:14">
      <c r="A118" s="1451" t="s">
        <v>1837</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1838</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1839</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1840</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787</v>
      </c>
      <c r="B1" s="529"/>
      <c r="C1" s="733"/>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315</v>
      </c>
      <c r="D4" s="741" t="s">
        <v>317</v>
      </c>
      <c r="E4" s="742" t="s">
        <v>792</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6</v>
      </c>
      <c r="D14" s="747">
        <v>4</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6</v>
      </c>
      <c r="D17" s="753">
        <f>SUM(D5:D16)</f>
        <v>4</v>
      </c>
      <c r="E17" s="458"/>
      <c r="F17" s="458"/>
      <c r="G17" s="458"/>
      <c r="H17" s="458"/>
      <c r="I17" s="458"/>
      <c r="K17" s="375"/>
      <c r="L17" s="375" t="s">
        <v>811</v>
      </c>
      <c r="M17" s="375" t="s">
        <v>812</v>
      </c>
    </row>
    <row r="18" ht="31.9" customHeight="1" spans="1:13">
      <c r="A18" s="754" t="s">
        <v>813</v>
      </c>
      <c r="B18" s="755"/>
      <c r="C18" s="756">
        <f>ROUND(C17/SUM(C17:D17),2)</f>
        <v>0.6</v>
      </c>
      <c r="D18" s="756">
        <f>1-C18</f>
        <v>0.4</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t="e">
        <f ca="1">SUMIF(INDIRECT("'"&amp;C4&amp;"'"&amp;"!A:A"),结果表办公!B19,INDIRECT("'"&amp;C4&amp;"'"&amp;"!B:B"))</f>
        <v>#DIV/0!</v>
      </c>
      <c r="D19" s="762" t="e">
        <f ca="1">SUMIF(INDIRECT("'"&amp;D4&amp;"'"&amp;"!A:A"),结果表办公!B19,INDIRECT("'"&amp;D4&amp;"'"&amp;"!B:B"))</f>
        <v>#N/A</v>
      </c>
      <c r="E19" s="759" t="s">
        <v>817</v>
      </c>
      <c r="F19" s="760" t="s">
        <v>816</v>
      </c>
      <c r="G19" s="763" t="e">
        <f ca="1">ROUND(C19*$C$18+D19*$D$18,0)</f>
        <v>#DIV/0!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t="e">
        <f ca="1">SUMIF(INDIRECT("'"&amp;C4&amp;"'"&amp;"!A:A"),结果表办公!B20,INDIRECT("'"&amp;C4&amp;"'"&amp;"!B:B"))</f>
        <v>#DIV/0!</v>
      </c>
      <c r="D20" s="768">
        <f ca="1">SUMIF(INDIRECT("'"&amp;D4&amp;"'"&amp;"!A:A"),结果表办公!B20,INDIRECT("'"&amp;D4&amp;"'"&amp;"!B:B"))</f>
        <v>0</v>
      </c>
      <c r="E20" s="765"/>
      <c r="F20" s="766" t="s">
        <v>819</v>
      </c>
      <c r="G20" s="769" t="e">
        <f ca="1">ROUND(C20*$C$18+D20*$D$18,0)</f>
        <v>#DIV/0!</v>
      </c>
      <c r="H20" s="538" t="s">
        <v>820</v>
      </c>
      <c r="I20" s="458"/>
    </row>
    <row r="21" ht="15" customHeight="1" spans="1:9">
      <c r="A21" s="770"/>
      <c r="B21" s="771" t="s">
        <v>821</v>
      </c>
      <c r="C21" s="772" t="e">
        <f ca="1">ROUND(C19*10000/L19,0)</f>
        <v>#DIV/0!</v>
      </c>
      <c r="D21" s="773" t="e">
        <f ca="1">ROUND(D19*10000/L19,0)</f>
        <v>#N/A</v>
      </c>
      <c r="E21" s="770"/>
      <c r="F21" s="771" t="s">
        <v>821</v>
      </c>
      <c r="G21" s="774" t="e">
        <f ca="1">ROUND(G19*10000/L19,0)</f>
        <v>#DIV/0!</v>
      </c>
      <c r="H21" s="775" t="s">
        <v>820</v>
      </c>
      <c r="I21" s="458"/>
    </row>
    <row r="22" ht="14.75" spans="1:9">
      <c r="A22" s="776" t="s">
        <v>822</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t="e">
        <f ca="1">IF(D32="总价",G19-C24,G20-C25)</f>
        <v>#DIV/0!</v>
      </c>
      <c r="D32" s="794"/>
      <c r="E32" s="458"/>
      <c r="F32" s="458"/>
      <c r="G32" s="458"/>
      <c r="H32" s="458"/>
      <c r="I32" s="458"/>
    </row>
    <row r="33" ht="14" spans="1:9">
      <c r="A33" s="795" t="s">
        <v>833</v>
      </c>
      <c r="B33" s="420"/>
      <c r="C33" s="796"/>
      <c r="D33" s="797"/>
      <c r="E33" s="798" t="s">
        <v>834</v>
      </c>
      <c r="F33" s="799" t="str">
        <f>IF(D32="楼面单价","取值（单价）","取值（总价）")</f>
        <v>取值（总价）</v>
      </c>
      <c r="G33" s="458"/>
      <c r="H33" s="458"/>
      <c r="I33" s="458"/>
    </row>
    <row r="34" ht="14" spans="1:9">
      <c r="A34" s="800"/>
      <c r="B34" s="801" t="s">
        <v>835</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t="e">
        <f ca="1">ROUND(H101*F45,0)</f>
        <v>#REF!</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26" spans="1:15">
      <c r="A48" s="857" t="s">
        <v>862</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863</v>
      </c>
      <c r="H48" s="860"/>
      <c r="I48" s="850"/>
      <c r="J48" s="912">
        <v>3</v>
      </c>
      <c r="K48" s="913" t="s">
        <v>865</v>
      </c>
      <c r="L48" s="913"/>
      <c r="M48" s="916" t="e">
        <f ca="1">H101</f>
        <v>#REF!</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t="e">
        <f ca="1">ROUND(D45*'数据-取费表'!B41/(1+'数据-取费表'!C42),0)</f>
        <v>#REF!</v>
      </c>
      <c r="E52" s="435" t="s">
        <v>882</v>
      </c>
      <c r="F52" s="872">
        <f>'数据-取费表'!B41</f>
        <v>0.056</v>
      </c>
      <c r="G52" s="873"/>
      <c r="H52" s="550"/>
      <c r="I52" s="918"/>
      <c r="J52" s="912">
        <v>1</v>
      </c>
      <c r="K52" s="912" t="s">
        <v>883</v>
      </c>
      <c r="L52" s="912"/>
      <c r="M52" s="919" t="b">
        <f ca="1" t="shared" ref="M52:O52" si="0">D48</f>
        <v>0</v>
      </c>
      <c r="N52" s="912" t="str">
        <f t="shared" si="0"/>
        <v>销售额×税（费）率</v>
      </c>
      <c r="O52" s="920">
        <f t="shared" si="0"/>
        <v>0.056</v>
      </c>
    </row>
    <row r="53" ht="12" customHeight="1" spans="1:15">
      <c r="A53" s="871" t="s">
        <v>884</v>
      </c>
      <c r="B53" s="410" t="s">
        <v>885</v>
      </c>
      <c r="C53" s="874"/>
      <c r="D53" s="431" t="e">
        <f ca="1">ROUND(D45*'数据-取费表'!B41/(1+'数据-取费表'!C42),0)</f>
        <v>#REF!</v>
      </c>
      <c r="E53" s="435" t="s">
        <v>882</v>
      </c>
      <c r="F53" s="872">
        <f>'数据-取费表'!B41</f>
        <v>0.056</v>
      </c>
      <c r="G53" s="873"/>
      <c r="H53" s="550"/>
      <c r="I53" s="918"/>
      <c r="J53" s="912">
        <v>2</v>
      </c>
      <c r="K53" s="912" t="s">
        <v>886</v>
      </c>
      <c r="L53" s="912"/>
      <c r="M53" s="919" t="e">
        <f ca="1" t="shared" ref="M53:O53" si="1">D55</f>
        <v>#REF!</v>
      </c>
      <c r="N53" s="912" t="str">
        <f t="shared" si="1"/>
        <v>销售额×税（费）率</v>
      </c>
      <c r="O53" s="920" t="str">
        <f t="shared" si="1"/>
        <v>免征</v>
      </c>
    </row>
    <row r="54" ht="12" customHeight="1" spans="1:15">
      <c r="A54" s="871" t="s">
        <v>887</v>
      </c>
      <c r="B54" s="410" t="s">
        <v>888</v>
      </c>
      <c r="C54" s="874"/>
      <c r="D54" s="431" t="e">
        <f ca="1">C68</f>
        <v>#REF!</v>
      </c>
      <c r="E54" s="445" t="s">
        <v>889</v>
      </c>
      <c r="F54" s="872">
        <f>'数据-取费表'!B41</f>
        <v>0.056</v>
      </c>
      <c r="G54" s="873"/>
      <c r="H54" s="875"/>
      <c r="I54" s="918"/>
      <c r="J54" s="912">
        <v>3</v>
      </c>
      <c r="K54" s="912" t="s">
        <v>890</v>
      </c>
      <c r="L54" s="912"/>
      <c r="M54" s="919" t="e">
        <f ca="1" t="shared" ref="M54:O54" si="2">D56</f>
        <v>#REF!</v>
      </c>
      <c r="N54" s="912" t="str">
        <f t="shared" si="2"/>
        <v>增值额×税（费）率</v>
      </c>
      <c r="O54" s="921" t="str">
        <f t="shared" si="2"/>
        <v>免征</v>
      </c>
    </row>
    <row r="55" ht="24" customHeight="1" spans="1:15">
      <c r="A55" s="871" t="s">
        <v>891</v>
      </c>
      <c r="B55" s="435"/>
      <c r="C55" s="435"/>
      <c r="D55" s="536" t="e">
        <f ca="1">IF(H55="个人住宅",0,ROUND(D45*I55,0))</f>
        <v>#REF!</v>
      </c>
      <c r="E55" s="435" t="s">
        <v>892</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894</v>
      </c>
      <c r="B56" s="435"/>
      <c r="C56" s="435"/>
      <c r="D56" s="536" t="e">
        <f ca="1">IF(H56="个人住宅",D57,D58)</f>
        <v>#REF!</v>
      </c>
      <c r="E56" s="435" t="s">
        <v>895</v>
      </c>
      <c r="F56" s="872" t="str">
        <f>IF(H56="正常",F58,"免征")</f>
        <v>免征</v>
      </c>
      <c r="G56" s="876" t="s">
        <v>896</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866</v>
      </c>
      <c r="B57" s="410" t="s">
        <v>897</v>
      </c>
      <c r="C57" s="874"/>
      <c r="D57" s="861">
        <v>0</v>
      </c>
      <c r="E57" s="441" t="s">
        <v>868</v>
      </c>
      <c r="F57" s="375"/>
      <c r="G57" s="873"/>
      <c r="H57" s="878"/>
      <c r="I57" s="888"/>
      <c r="J57" s="912">
        <f>IF(AND(J55="",J56=""),4,IF(项目基本情况!K6="上海银行",结果表办公!J56+1,结果表办公!J55+1))</f>
        <v>5</v>
      </c>
      <c r="K57" s="912" t="s">
        <v>898</v>
      </c>
      <c r="L57" s="927" t="s">
        <v>899</v>
      </c>
      <c r="M57" s="928"/>
      <c r="N57" s="929">
        <f ca="1">SUMIF(M52:M56,"&lt;9e307")</f>
        <v>0</v>
      </c>
      <c r="O57" s="930"/>
      <c r="P57" s="931" t="e">
        <f ca="1">N57/M49</f>
        <v>#VALUE!</v>
      </c>
    </row>
    <row r="58" ht="26" spans="1:15">
      <c r="A58" s="871" t="s">
        <v>880</v>
      </c>
      <c r="B58" s="410" t="s">
        <v>900</v>
      </c>
      <c r="C58" s="411"/>
      <c r="D58" s="536" t="e">
        <f ca="1">IF(H58="转让取得",C81,C97)</f>
        <v>#REF!</v>
      </c>
      <c r="E58" s="435" t="s">
        <v>895</v>
      </c>
      <c r="F58" s="375" t="s">
        <v>124</v>
      </c>
      <c r="G58" s="873"/>
      <c r="H58" s="877"/>
      <c r="I58" s="888"/>
      <c r="J58" s="912"/>
      <c r="K58" s="912"/>
      <c r="L58" s="927" t="s">
        <v>902</v>
      </c>
      <c r="M58" s="932"/>
      <c r="N58" s="933" t="str">
        <f ca="1">NUMBERSTRING(INT(N57*10000),2)&amp;"元整"</f>
        <v>零元整</v>
      </c>
      <c r="O58" s="934"/>
    </row>
    <row r="59" ht="26.75" spans="1:15">
      <c r="A59" s="879" t="s">
        <v>903</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896</v>
      </c>
      <c r="H59" s="885"/>
      <c r="I59" s="935" t="s">
        <v>905</v>
      </c>
      <c r="J59" s="924">
        <f>J57+1</f>
        <v>6</v>
      </c>
      <c r="K59" s="912" t="s">
        <v>906</v>
      </c>
      <c r="L59" s="912" t="s">
        <v>899</v>
      </c>
      <c r="M59" s="936"/>
      <c r="N59" s="937" t="e">
        <f ca="1">M49-N57</f>
        <v>#VALUE!</v>
      </c>
      <c r="O59" s="938"/>
    </row>
    <row r="60" ht="12" customHeight="1" spans="1:15">
      <c r="A60" s="886"/>
      <c r="B60" s="529"/>
      <c r="C60" s="529"/>
      <c r="D60" s="529"/>
      <c r="E60" s="887"/>
      <c r="F60" s="888"/>
      <c r="G60" s="888"/>
      <c r="H60" s="889"/>
      <c r="I60" s="458"/>
      <c r="J60" s="939"/>
      <c r="K60" s="912"/>
      <c r="L60" s="927" t="s">
        <v>902</v>
      </c>
      <c r="M60" s="932"/>
      <c r="N60" s="933" t="e">
        <f ca="1">NUMBERSTRING(INT(N59*10000),2)&amp;"元整"</f>
        <v>#VALUE!</v>
      </c>
      <c r="O60" s="934"/>
    </row>
    <row r="61" ht="14.75" spans="1:15">
      <c r="A61" s="890" t="s">
        <v>907</v>
      </c>
      <c r="B61" s="890"/>
      <c r="C61" s="890"/>
      <c r="D61" s="890"/>
      <c r="E61" s="890"/>
      <c r="F61" s="888"/>
      <c r="G61" s="888"/>
      <c r="H61" s="889"/>
      <c r="I61" s="458"/>
      <c r="J61" s="912">
        <f>J59+1</f>
        <v>7</v>
      </c>
      <c r="K61" s="912" t="s">
        <v>908</v>
      </c>
      <c r="L61" s="912"/>
      <c r="M61" s="940"/>
      <c r="N61" s="941" t="e">
        <f ca="1">ROUND(N59*10000/'数据-汇总表'!E3,0)</f>
        <v>#VALUE!</v>
      </c>
      <c r="O61" s="942"/>
    </row>
    <row r="62" ht="14" spans="1:9">
      <c r="A62" s="891" t="s">
        <v>909</v>
      </c>
      <c r="B62" s="892"/>
      <c r="C62" s="892"/>
      <c r="D62" s="892" t="s">
        <v>910</v>
      </c>
      <c r="E62" s="893" t="s">
        <v>860</v>
      </c>
      <c r="F62" s="888"/>
      <c r="G62" s="888"/>
      <c r="H62" s="889"/>
      <c r="I62" s="458"/>
    </row>
    <row r="63" ht="14" spans="1:35">
      <c r="A63" s="894" t="s">
        <v>911</v>
      </c>
      <c r="B63" s="895" t="s">
        <v>912</v>
      </c>
      <c r="C63" s="896" t="e">
        <f ca="1">ROUND((C64+C65)/(1+'数据-取费表'!C42),0)</f>
        <v>#REF!</v>
      </c>
      <c r="D63" s="895"/>
      <c r="E63" s="897"/>
      <c r="F63" s="888"/>
      <c r="G63" s="888"/>
      <c r="H63" s="889"/>
      <c r="I63" s="458"/>
      <c r="J63" s="943" t="s">
        <v>913</v>
      </c>
      <c r="K63" s="943" t="s">
        <v>914</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915</v>
      </c>
      <c r="B64" s="899" t="s">
        <v>916</v>
      </c>
      <c r="C64" s="900" t="e">
        <f ca="1">D45</f>
        <v>#REF!</v>
      </c>
      <c r="D64" s="899" t="s">
        <v>124</v>
      </c>
      <c r="E64" s="901"/>
      <c r="F64" s="888"/>
      <c r="G64" s="888"/>
      <c r="H64" s="889"/>
      <c r="I64" s="458"/>
      <c r="J64" s="943"/>
      <c r="K64" s="943" t="s">
        <v>917</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918</v>
      </c>
      <c r="Z64" s="730"/>
      <c r="AI64" s="731"/>
    </row>
    <row r="65" ht="14.25" customHeight="1" spans="1:35">
      <c r="A65" s="898" t="s">
        <v>919</v>
      </c>
      <c r="B65" s="899" t="s">
        <v>920</v>
      </c>
      <c r="C65" s="946"/>
      <c r="D65" s="899"/>
      <c r="E65" s="901"/>
      <c r="F65" s="888"/>
      <c r="G65" s="888"/>
      <c r="H65" s="889"/>
      <c r="I65" s="458"/>
      <c r="J65" s="943"/>
      <c r="K65" s="943" t="s">
        <v>921</v>
      </c>
      <c r="L65" s="943" t="e">
        <f ca="1">IF(M49&gt;1000,M49*0.1%,IF(AND(M49&gt;500,M49&lt;=1000),M49*0.5%,IF(AND(M49&gt;50,M49&lt;=500),M49*1%,IF(AND(M49&gt;1,M49&lt;=50),M49*1.5%))))</f>
        <v>#VALUE!</v>
      </c>
      <c r="M65" s="375" t="e">
        <f ca="1" t="shared" si="4"/>
        <v>#VALUE!</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t="e">
        <f ca="1">M49*0.5%</f>
        <v>#VALUE!</v>
      </c>
      <c r="M66" s="375" t="e">
        <f ca="1">IF(L66&gt;0.5,0.5,ROUND(L66,0))</f>
        <v>#VALUE!</v>
      </c>
      <c r="N66" s="550" t="s">
        <v>926</v>
      </c>
      <c r="Z66" s="730"/>
      <c r="AI66" s="731"/>
    </row>
    <row r="67" ht="14.25" customHeight="1" spans="1:35">
      <c r="A67" s="894" t="s">
        <v>927</v>
      </c>
      <c r="B67" s="947" t="s">
        <v>928</v>
      </c>
      <c r="C67" s="950" t="e">
        <f ca="1">C63-C66</f>
        <v>#REF!</v>
      </c>
      <c r="D67" s="899" t="s">
        <v>124</v>
      </c>
      <c r="E67" s="901"/>
      <c r="F67" s="888"/>
      <c r="G67" s="888"/>
      <c r="H67" s="889"/>
      <c r="I67" s="458"/>
      <c r="J67" s="943"/>
      <c r="K67" s="943" t="s">
        <v>929</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930</v>
      </c>
      <c r="B68" s="952" t="s">
        <v>931</v>
      </c>
      <c r="C68" s="953" t="e">
        <f ca="1">IF(C67&lt;=0,0,ROUND(C67*D68,0))</f>
        <v>#REF!</v>
      </c>
      <c r="D68" s="954">
        <f>'数据-取费表'!B41</f>
        <v>0.056</v>
      </c>
      <c r="E68" s="955"/>
      <c r="F68" s="888"/>
      <c r="G68" s="888"/>
      <c r="H68" s="889"/>
      <c r="I68" s="458"/>
      <c r="J68" s="943"/>
      <c r="K68" s="943" t="s">
        <v>932</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933</v>
      </c>
      <c r="L69" s="943"/>
      <c r="M69" s="375" t="e">
        <f ca="1">ROUND(SUM(M63:M68),0)</f>
        <v>#VALUE!</v>
      </c>
      <c r="N69" s="1057" t="e">
        <f ca="1">M69/M49</f>
        <v>#VALUE!</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t="e">
        <f ca="1">ROUND(D45*D78/(1+'数据-取费表'!C42),0)</f>
        <v>#REF!</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938</v>
      </c>
      <c r="B88" s="899" t="s">
        <v>957</v>
      </c>
      <c r="C88" s="993"/>
      <c r="D88" s="978"/>
      <c r="E88" s="994" t="s">
        <v>958</v>
      </c>
      <c r="F88" s="980"/>
      <c r="G88" s="995" t="s">
        <v>959</v>
      </c>
      <c r="H88" s="996"/>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0</v>
      </c>
      <c r="D91" s="978"/>
      <c r="E91" s="979" t="s">
        <v>968</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0</v>
      </c>
      <c r="D92" s="1000"/>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t="e">
        <f ca="1">ROUND(D45*D93/(1+'数据-取费表'!C42),0)</f>
        <v>#REF!</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f ca="1">ROUND((C87+C90+C91)*D94,0)</f>
        <v>0</v>
      </c>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成本法办公</v>
      </c>
      <c r="D101" s="1011" t="str">
        <f>D4</f>
        <v>收益法办公</v>
      </c>
      <c r="E101" s="1012" t="s">
        <v>982</v>
      </c>
      <c r="F101" s="1013"/>
      <c r="G101" s="1014" t="s">
        <v>983</v>
      </c>
      <c r="H101" s="1015" t="e">
        <f ca="1">H118</f>
        <v>#REF!</v>
      </c>
      <c r="I101" s="458"/>
    </row>
    <row r="102" ht="18.75" customHeight="1" spans="1:9">
      <c r="A102" s="1016" t="s">
        <v>984</v>
      </c>
      <c r="B102" s="1017" t="s">
        <v>983</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985</v>
      </c>
      <c r="F103" s="1021"/>
      <c r="G103" s="1022" t="s">
        <v>102</v>
      </c>
      <c r="H103" s="1015">
        <f>IF(D36="正常操作",H104+H105+H106,H105+H106)</f>
        <v>0</v>
      </c>
      <c r="I103" s="458"/>
    </row>
    <row r="104" ht="18.75" customHeight="1" spans="1:9">
      <c r="A104" s="1016" t="s">
        <v>986</v>
      </c>
      <c r="B104" s="1023" t="s">
        <v>983</v>
      </c>
      <c r="C104" s="1024" t="e">
        <f ca="1">H118</f>
        <v>#REF!</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999</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999</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999</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999</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573</v>
      </c>
      <c r="C1" s="645"/>
      <c r="D1" s="645"/>
      <c r="E1" s="645"/>
      <c r="F1" s="645"/>
      <c r="G1" s="646" t="e">
        <f>MATCH(B1,'数据-取费表'!A6:A16,0)+5</f>
        <v>#N/A</v>
      </c>
    </row>
    <row r="2" s="636" customFormat="1" ht="18" customHeight="1" spans="1:7">
      <c r="A2" s="647" t="s">
        <v>1008</v>
      </c>
      <c r="B2" s="648" t="e">
        <f ca="1">IF(D2="——",C52,C52-E2)</f>
        <v>#DIV/0!</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#DIV/0!</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#DIV/0!</v>
      </c>
      <c r="D5" s="661" t="s">
        <v>1015</v>
      </c>
      <c r="E5" s="662" t="s">
        <v>1016</v>
      </c>
      <c r="F5" s="662" t="s">
        <v>910</v>
      </c>
      <c r="G5" s="663"/>
    </row>
    <row r="6" s="638" customFormat="1" ht="13.5" customHeight="1" spans="1:7">
      <c r="A6" s="664" t="s">
        <v>1017</v>
      </c>
      <c r="B6" s="665" t="s">
        <v>1018</v>
      </c>
      <c r="C6" s="666" t="e">
        <f>'基准地价修正-办公'!E33</f>
        <v>#DIV/0!</v>
      </c>
      <c r="D6" s="667"/>
      <c r="E6" s="668"/>
      <c r="F6" s="668"/>
      <c r="G6" s="669"/>
    </row>
    <row r="7" s="638" customFormat="1" ht="13.5" customHeight="1" spans="1:7">
      <c r="A7" s="664" t="s">
        <v>1019</v>
      </c>
      <c r="B7" s="665" t="s">
        <v>1020</v>
      </c>
      <c r="C7" s="670" t="e">
        <f>ROUND(C6*F7,0)</f>
        <v>#DIV/0!</v>
      </c>
      <c r="D7" s="670"/>
      <c r="E7" s="668"/>
      <c r="F7" s="671">
        <f>IF(项目基本情况!B8="出让",0,'数据-取费表'!B48+'数据-取费表'!B49)</f>
        <v>0.0305</v>
      </c>
      <c r="G7" s="669"/>
    </row>
    <row r="8" s="639" customFormat="1" ht="13" spans="1:7">
      <c r="A8" s="664" t="s">
        <v>1021</v>
      </c>
      <c r="B8" s="665" t="s">
        <v>1022</v>
      </c>
      <c r="C8" s="670">
        <f ca="1">IF(G8="已包含在土地购买价格中","0",IF(B1="",'数据-取费表'!B29,IF(G9="全部缴纳",C9+C10,H9)))</f>
        <v>0</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#DIV/0!</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#DIV/0!</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#DIV/0!</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#DIV/0!</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#DIV/0!</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#DIV/0!</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#DIV/0!</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 t="shared" ref="F39:F41" si="0">F20</f>
        <v>0.02</v>
      </c>
      <c r="G39" s="686" t="s">
        <v>1087</v>
      </c>
    </row>
    <row r="40" s="638" customFormat="1" ht="13.5" customHeight="1" spans="1:7">
      <c r="A40" s="659" t="s">
        <v>1049</v>
      </c>
      <c r="B40" s="660" t="s">
        <v>1053</v>
      </c>
      <c r="C40" s="687">
        <f>F21</f>
        <v>0.02</v>
      </c>
      <c r="D40" s="688" t="s">
        <v>1088</v>
      </c>
      <c r="E40" s="505"/>
      <c r="F40" s="685">
        <f t="shared" si="0"/>
        <v>0.02</v>
      </c>
      <c r="G40" s="686" t="s">
        <v>1089</v>
      </c>
    </row>
    <row r="41" s="638" customFormat="1" ht="13.5" customHeight="1" spans="1:7">
      <c r="A41" s="659" t="s">
        <v>1052</v>
      </c>
      <c r="B41" s="660" t="s">
        <v>1057</v>
      </c>
      <c r="C41" s="505" t="e">
        <f ca="1">ROUND(SUM(C42:C43),0)</f>
        <v>#N/A</v>
      </c>
      <c r="D41" s="687">
        <f ca="1">C44</f>
        <v>0.0006</v>
      </c>
      <c r="E41" s="688" t="s">
        <v>1088</v>
      </c>
      <c r="F41" s="690">
        <f ca="1" t="shared" si="0"/>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#DIV/0!</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结果表!H101</f>
        <v>1120</v>
      </c>
    </row>
    <row r="6" ht="15" spans="2:4">
      <c r="B6" s="3344"/>
      <c r="C6" s="3345" t="s">
        <v>98</v>
      </c>
      <c r="D6" s="3346" t="str">
        <f ca="1">NUMBERSTRING(INT(D5*10000),2)&amp;"元整"</f>
        <v>壹仟壹佰贰拾万元整</v>
      </c>
    </row>
    <row r="7" ht="15.5" spans="2:4">
      <c r="B7" s="3347"/>
      <c r="C7" s="3348" t="s">
        <v>99</v>
      </c>
      <c r="D7" s="3349">
        <f ca="1">结果表!H102</f>
        <v>9783</v>
      </c>
    </row>
    <row r="8" ht="15.5" spans="2:4">
      <c r="B8" s="3350" t="str">
        <f>结果表!E103</f>
        <v>2.估价师知悉的法定优先受偿款</v>
      </c>
      <c r="C8" s="3351" t="s">
        <v>100</v>
      </c>
      <c r="D8" s="3349">
        <f>结果表!H103</f>
        <v>0</v>
      </c>
    </row>
    <row r="9" ht="15" spans="2:4">
      <c r="B9" s="3352"/>
      <c r="C9" s="3345" t="s">
        <v>98</v>
      </c>
      <c r="D9" s="3346" t="str">
        <f>NUMBERSTRING(INT(D8*10000),2)&amp;"元整"</f>
        <v>零元整</v>
      </c>
    </row>
    <row r="10" ht="15.5" spans="2:4">
      <c r="B10" s="3353" t="s">
        <v>101</v>
      </c>
      <c r="C10" s="3354" t="s">
        <v>102</v>
      </c>
      <c r="D10" s="3355">
        <f>结果表!H104</f>
        <v>0</v>
      </c>
    </row>
    <row r="11" ht="15.5" spans="2:4">
      <c r="B11" s="3353" t="s">
        <v>103</v>
      </c>
      <c r="C11" s="3354" t="s">
        <v>102</v>
      </c>
      <c r="D11" s="3355">
        <f>结果表!H105</f>
        <v>0</v>
      </c>
    </row>
    <row r="12" ht="15.5" spans="2:4">
      <c r="B12" s="3353" t="s">
        <v>104</v>
      </c>
      <c r="C12" s="3354" t="s">
        <v>102</v>
      </c>
      <c r="D12" s="3355">
        <f>结果表!H106</f>
        <v>0</v>
      </c>
    </row>
    <row r="13" ht="15.5" spans="2:4">
      <c r="B13" s="3356" t="str">
        <f>结果表!E107</f>
        <v>3.房地产抵押价值</v>
      </c>
      <c r="C13" s="3357" t="s">
        <v>97</v>
      </c>
      <c r="D13" s="3358">
        <f ca="1">结果表!H107</f>
        <v>1120</v>
      </c>
    </row>
    <row r="14" ht="15" spans="2:4">
      <c r="B14" s="3344"/>
      <c r="C14" s="3345" t="s">
        <v>98</v>
      </c>
      <c r="D14" s="3346" t="str">
        <f ca="1">NUMBERSTRING(INT(D13*10000),2)&amp;"元整"</f>
        <v>壹仟壹佰贰拾万元整</v>
      </c>
    </row>
    <row r="15" ht="15.5" spans="2:4">
      <c r="B15" s="3347"/>
      <c r="C15" s="3348" t="s">
        <v>99</v>
      </c>
      <c r="D15" s="3359">
        <f ca="1">结果表!H108</f>
        <v>9783</v>
      </c>
    </row>
    <row r="16" ht="15" spans="2:4">
      <c r="B16" s="3350" t="str">
        <f>结果表!E109</f>
        <v>——</v>
      </c>
      <c r="C16" s="3357" t="s">
        <v>97</v>
      </c>
      <c r="D16" s="3360" t="str">
        <f ca="1">结果表!H109</f>
        <v>——</v>
      </c>
    </row>
    <row r="17" ht="15.5" spans="2:4">
      <c r="B17" s="3361"/>
      <c r="C17" s="3345" t="s">
        <v>98</v>
      </c>
      <c r="D17" s="3346" t="e">
        <f ca="1">NUMBERSTRING(INT(D16*10000),2)&amp;"元整"</f>
        <v>#VALUE!</v>
      </c>
    </row>
    <row r="18" ht="15.5" spans="2:4">
      <c r="B18" s="3352"/>
      <c r="C18" s="3348" t="s">
        <v>99</v>
      </c>
      <c r="D18" s="3359" t="str">
        <f ca="1">结果表!H110</f>
        <v>——</v>
      </c>
    </row>
    <row r="19" ht="15.5" spans="2:4">
      <c r="B19" s="3356" t="str">
        <f>结果表!E111</f>
        <v>4.抵押净值</v>
      </c>
      <c r="C19" s="3357" t="s">
        <v>97</v>
      </c>
      <c r="D19" s="3349">
        <f ca="1">结果表!H111</f>
        <v>413</v>
      </c>
    </row>
    <row r="20" ht="15" spans="2:4">
      <c r="B20" s="3344"/>
      <c r="C20" s="3345" t="s">
        <v>98</v>
      </c>
      <c r="D20" s="3346" t="str">
        <f ca="1">NUMBERSTRING(INT(D19*10000),2)&amp;"元整"</f>
        <v>肆佰壹拾叁万元整</v>
      </c>
    </row>
    <row r="21" ht="16.25" spans="2:4">
      <c r="B21" s="3362"/>
      <c r="C21" s="3363" t="s">
        <v>99</v>
      </c>
      <c r="D21" s="3364">
        <f ca="1">结果表!H112</f>
        <v>3607</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573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t="e">
        <f ca="1">ROUND(IF(F10="押一",C6/12*F11,IF(F10="押二",C6/12*2*F11,IF(F10="押三",C6/12*3*F11,C11*F11))),0)</f>
        <v>#N/A</v>
      </c>
      <c r="D10" s="388" t="s">
        <v>1288</v>
      </c>
      <c r="E10" s="389" t="s">
        <v>1289</v>
      </c>
      <c r="F10" s="390" t="s">
        <v>1461</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2005</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41</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f>IF(L55="比较法",L49,IF(L55="基准地价",L50,0))</f>
        <v>0</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 t="shared" ref="F68:F71" si="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 t="shared" si="1"/>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 t="shared" si="1"/>
        <v>#N/A</v>
      </c>
      <c r="O71" s="573" t="s">
        <v>1447</v>
      </c>
      <c r="P71" s="634" t="s">
        <v>1448</v>
      </c>
      <c r="Q71" s="607" t="e">
        <f ca="1">C76</f>
        <v>#N/A</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1715</v>
      </c>
      <c r="B1" s="1092"/>
      <c r="C1" s="647" t="s">
        <v>1172</v>
      </c>
      <c r="D1" s="626">
        <f>SUM(D33:D34,D37:D42)</f>
        <v>0</v>
      </c>
      <c r="E1" s="1190"/>
      <c r="F1" s="1190"/>
      <c r="G1" s="1190"/>
      <c r="H1" s="1190"/>
      <c r="I1" s="1190"/>
      <c r="J1" s="1190"/>
      <c r="K1" s="1183"/>
      <c r="L1" s="1387" t="s">
        <v>1716</v>
      </c>
      <c r="M1" s="1388">
        <f>SUMPRODUCT((区片价!B5:B9=I2)*(区片价!C3:G3=E2)*(区片价!C5:G9))</f>
        <v>0</v>
      </c>
      <c r="N1" s="1389">
        <f>SUMPRODUCT((因素修正幅度!B5:B9=I2)*(因素修正幅度!C3:G3=E2)*(因素修正幅度!C5:G9))</f>
        <v>0</v>
      </c>
      <c r="O1" s="1184"/>
      <c r="P1" s="1184"/>
      <c r="Q1" s="1183"/>
      <c r="R1" s="1472" t="s">
        <v>1717</v>
      </c>
      <c r="S1" s="1472" t="s">
        <v>1718</v>
      </c>
      <c r="T1" s="1472" t="s">
        <v>1719</v>
      </c>
      <c r="U1" s="1472" t="s">
        <v>1720</v>
      </c>
      <c r="V1" s="1472" t="s">
        <v>1721</v>
      </c>
      <c r="W1" s="1473"/>
      <c r="X1" s="1473"/>
      <c r="Y1" s="1473"/>
      <c r="Z1" s="1473"/>
      <c r="AA1" s="1473"/>
      <c r="AB1" s="1473"/>
      <c r="AC1" s="1486"/>
      <c r="AD1" s="1487"/>
      <c r="AE1" s="1487"/>
      <c r="AF1" s="1487"/>
      <c r="AG1" s="1487"/>
      <c r="AH1" s="1487"/>
      <c r="AI1" s="1487"/>
      <c r="AJ1" s="1496"/>
    </row>
    <row r="2" ht="15.5" spans="1:36">
      <c r="A2" s="647" t="s">
        <v>1008</v>
      </c>
      <c r="B2" s="655" t="e">
        <f>C30</f>
        <v>#DIV/0!</v>
      </c>
      <c r="C2" s="1191" t="s">
        <v>1009</v>
      </c>
      <c r="D2" s="899" t="s">
        <v>1722</v>
      </c>
      <c r="E2" s="1192" t="s">
        <v>573</v>
      </c>
      <c r="F2" s="899" t="s">
        <v>1723</v>
      </c>
      <c r="G2" s="1193">
        <f>IF(E2="商业",项目基本情况!B37,IF(E2="办公",项目基本情况!C37,IF(E2="住宅",项目基本情况!D37,IF(E2="工业",项目基本情况!E37,项目基本情况!F37))))</f>
        <v>0</v>
      </c>
      <c r="H2" s="899" t="s">
        <v>1724</v>
      </c>
      <c r="I2" s="1193">
        <f>IF(E2="商业",项目基本情况!B38,IF(E2="办公",项目基本情况!C38,IF(E2="住宅",项目基本情况!D38,IF(E2="工业",项目基本情况!E38,项目基本情况!F38))))</f>
        <v>0</v>
      </c>
      <c r="J2" s="1190"/>
      <c r="K2" s="1183"/>
      <c r="L2" s="1390" t="s">
        <v>1725</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t="e">
        <f t="shared" ref="T2:T16" si="0">ROUND($C$5*$C$22*$C$23*$C$24*S2*$C$28,0)</f>
        <v>#DIV/0!</v>
      </c>
      <c r="U2" s="1475"/>
      <c r="V2" s="1474" t="e">
        <f t="shared" ref="V2:V16" si="1">ROUND(T2*U2/10000,0)</f>
        <v>#DIV/0!</v>
      </c>
      <c r="W2" s="1473"/>
      <c r="X2" s="1473"/>
      <c r="Y2" s="1473"/>
      <c r="Z2" s="1473"/>
      <c r="AA2" s="1473"/>
      <c r="AB2" s="1473"/>
      <c r="AC2" s="1486"/>
      <c r="AD2" s="1487"/>
      <c r="AE2" s="1487"/>
      <c r="AF2" s="1487"/>
      <c r="AG2" s="1487"/>
      <c r="AH2" s="1487"/>
      <c r="AI2" s="1487"/>
      <c r="AJ2" s="1496"/>
    </row>
    <row r="3" ht="15.5" spans="1:36">
      <c r="A3" s="654" t="s">
        <v>1010</v>
      </c>
      <c r="B3" s="655" t="e">
        <f>ROUND(B2*10000/D1,0)</f>
        <v>#DIV/0!</v>
      </c>
      <c r="C3" s="1191" t="s">
        <v>1011</v>
      </c>
      <c r="D3" s="899" t="s">
        <v>1726</v>
      </c>
      <c r="E3" s="1194" t="s">
        <v>1922</v>
      </c>
      <c r="F3" s="1195" t="s">
        <v>1728</v>
      </c>
      <c r="G3" s="1196" t="e">
        <f>IF(F3="宗地容积率",'数据-汇总表'!I4,IF(F3="估价对象容积率",'数据-汇总表'!I6,'数据-汇总表'!I7))</f>
        <v>#DIV/0!</v>
      </c>
      <c r="H3" s="899" t="s">
        <v>1729</v>
      </c>
      <c r="I3" s="1392"/>
      <c r="J3" s="1190" t="s">
        <v>1730</v>
      </c>
      <c r="K3" s="1183"/>
      <c r="L3" s="1390" t="s">
        <v>1731</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t="e">
        <f t="shared" si="0"/>
        <v>#DIV/0!</v>
      </c>
      <c r="U3" s="1475"/>
      <c r="V3" s="1474" t="e">
        <f t="shared" si="1"/>
        <v>#DIV/0!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1732</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t="e">
        <f t="shared" si="0"/>
        <v>#DIV/0!</v>
      </c>
      <c r="U4" s="1475"/>
      <c r="V4" s="1474" t="e">
        <f t="shared" si="1"/>
        <v>#DIV/0!</v>
      </c>
      <c r="W4" s="1473"/>
      <c r="X4" s="1473"/>
      <c r="Y4" s="1473"/>
      <c r="Z4" s="1473"/>
      <c r="AA4" s="1473"/>
      <c r="AB4" s="1473"/>
      <c r="AC4" s="1486"/>
      <c r="AD4" s="1487"/>
      <c r="AE4" s="1487"/>
      <c r="AF4" s="1487"/>
      <c r="AG4" s="1487"/>
      <c r="AH4" s="1487"/>
      <c r="AI4" s="1487"/>
      <c r="AJ4" s="1496"/>
    </row>
    <row r="5" s="1182" customFormat="1" ht="16.25" spans="1:36">
      <c r="A5" s="1200" t="s">
        <v>911</v>
      </c>
      <c r="B5" s="1201" t="s">
        <v>1733</v>
      </c>
      <c r="C5" s="1202">
        <f>ROUND(IF(E2="商业",C6*C7*C17+C20,(IF(E2="住宅",C6*C13*C17+C20,IF(E2="办公",C6*C12*C17+C20,C6+C20)))),0)</f>
        <v>0</v>
      </c>
      <c r="D5" s="1203">
        <f>ROUND(C6*C17+C20,0)</f>
        <v>0</v>
      </c>
      <c r="E5" s="1203"/>
      <c r="F5" s="1204"/>
      <c r="G5" s="1205"/>
      <c r="H5" s="1205"/>
      <c r="I5" s="1205"/>
      <c r="J5" s="1394"/>
      <c r="K5" s="1395"/>
      <c r="L5" s="1390" t="s">
        <v>1734</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t="e">
        <f t="shared" si="0"/>
        <v>#DIV/0!</v>
      </c>
      <c r="U5" s="1475"/>
      <c r="V5" s="1474" t="e">
        <f t="shared" si="1"/>
        <v>#DIV/0!</v>
      </c>
      <c r="W5" s="1473"/>
      <c r="X5" s="1473"/>
      <c r="Y5" s="1473"/>
      <c r="Z5" s="1473"/>
      <c r="AA5" s="1473"/>
      <c r="AB5" s="1473"/>
      <c r="AC5" s="1488"/>
      <c r="AD5" s="1489"/>
      <c r="AE5" s="1489"/>
      <c r="AF5" s="1489"/>
      <c r="AG5" s="1489"/>
      <c r="AH5" s="1489"/>
      <c r="AI5" s="1489"/>
      <c r="AJ5" s="1497"/>
    </row>
    <row r="6" ht="16.25" spans="1:36">
      <c r="A6" s="1206" t="s">
        <v>1013</v>
      </c>
      <c r="B6" s="1207" t="s">
        <v>1735</v>
      </c>
      <c r="C6" s="1208">
        <f>SUMIF(L1:L12,G2,M1:M12)</f>
        <v>0</v>
      </c>
      <c r="D6" s="1209"/>
      <c r="E6" s="1210"/>
      <c r="F6" s="1210"/>
      <c r="G6" s="1211"/>
      <c r="H6" s="1211"/>
      <c r="I6" s="1211"/>
      <c r="J6" s="1396"/>
      <c r="K6" s="339"/>
      <c r="L6" s="1390" t="s">
        <v>1736</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t="e">
        <f t="shared" si="0"/>
        <v>#DIV/0!</v>
      </c>
      <c r="U6" s="1475"/>
      <c r="V6" s="1474" t="e">
        <f t="shared" si="1"/>
        <v>#DIV/0!</v>
      </c>
      <c r="W6" s="1473"/>
      <c r="X6" s="1473"/>
      <c r="Y6" s="1473"/>
      <c r="Z6" s="1473"/>
      <c r="AA6" s="1473"/>
      <c r="AB6" s="1473"/>
      <c r="AC6" s="1488"/>
      <c r="AD6" s="1489"/>
      <c r="AE6" s="1489"/>
      <c r="AF6" s="1489"/>
      <c r="AG6" s="1489"/>
      <c r="AH6" s="1489"/>
      <c r="AI6" s="1489"/>
      <c r="AJ6" s="1497"/>
    </row>
    <row r="7" ht="26.75" spans="1:36">
      <c r="A7" s="1212" t="s">
        <v>1737</v>
      </c>
      <c r="B7" s="892" t="s">
        <v>1738</v>
      </c>
      <c r="C7" s="1213" t="e">
        <f>IF(C8="不临65条商业街",1,ROUND(1+(1.6*E8+1.2*E9+0.8*E10+0.4*E11)*C9,4))</f>
        <v>#DIV/0!</v>
      </c>
      <c r="D7" s="1214" t="s">
        <v>1739</v>
      </c>
      <c r="E7" s="1215"/>
      <c r="F7" s="1216"/>
      <c r="G7" s="1217"/>
      <c r="H7" s="1217"/>
      <c r="I7" s="1217"/>
      <c r="J7" s="1397"/>
      <c r="K7" s="339"/>
      <c r="L7" s="1390" t="s">
        <v>1740</v>
      </c>
      <c r="M7" s="1391">
        <f>SUMPRODUCT((区片价!B190:B233=I2)*(区片价!C3:G3=E2)*(区片价!C190:G233))</f>
        <v>0</v>
      </c>
      <c r="N7" s="1389">
        <f>SUMPRODUCT((因素修正幅度!B190:B233=I2)*(因素修正幅度!C3:G3=E2)*(因素修正幅度!C190:G233))</f>
        <v>0</v>
      </c>
      <c r="O7" s="1183"/>
      <c r="P7" s="1183"/>
      <c r="Q7" s="1183"/>
      <c r="R7" s="1472">
        <v>6</v>
      </c>
      <c r="S7" s="1476"/>
      <c r="T7" s="1474" t="e">
        <f t="shared" si="0"/>
        <v>#DIV/0!</v>
      </c>
      <c r="U7" s="1475"/>
      <c r="V7" s="1474" t="e">
        <f t="shared" si="1"/>
        <v>#DIV/0!</v>
      </c>
      <c r="W7" s="1477" t="s">
        <v>1741</v>
      </c>
      <c r="X7" s="1478">
        <f>G2</f>
        <v>0</v>
      </c>
      <c r="Y7" s="1478" t="s">
        <v>1742</v>
      </c>
      <c r="Z7" s="1490" t="e">
        <f>G3</f>
        <v>#DIV/0!</v>
      </c>
      <c r="AA7" s="1473"/>
      <c r="AB7" s="1473"/>
      <c r="AC7" s="1486"/>
      <c r="AD7" s="1487"/>
      <c r="AE7" s="1487"/>
      <c r="AF7" s="1487"/>
      <c r="AG7" s="1487"/>
      <c r="AH7" s="1487"/>
      <c r="AI7" s="1487"/>
      <c r="AJ7" s="1496"/>
    </row>
    <row r="8" ht="15.5" spans="1:36">
      <c r="A8" s="1218"/>
      <c r="B8" s="899" t="s">
        <v>1743</v>
      </c>
      <c r="C8" s="1219"/>
      <c r="D8" s="1220" t="s">
        <v>1745</v>
      </c>
      <c r="E8" s="1221" t="e">
        <f>ROUND(C11/E7,4)</f>
        <v>#DIV/0!</v>
      </c>
      <c r="F8" s="1222" t="s">
        <v>1746</v>
      </c>
      <c r="G8" s="1223"/>
      <c r="H8" s="1223"/>
      <c r="I8" s="1223"/>
      <c r="J8" s="1398"/>
      <c r="K8" s="1183"/>
      <c r="L8" s="1390" t="s">
        <v>1747</v>
      </c>
      <c r="M8" s="1391">
        <f>SUMPRODUCT((区片价!B234:B276=I2)*(区片价!C3:G3=E2)*(区片价!C234:G276))</f>
        <v>0</v>
      </c>
      <c r="N8" s="1389">
        <f>SUMPRODUCT((因素修正幅度!B234:B276=I2)*(因素修正幅度!C3:G3=E2)*(因素修正幅度!C234:G276))</f>
        <v>0</v>
      </c>
      <c r="O8" s="1183"/>
      <c r="P8" s="1183"/>
      <c r="Q8" s="1183"/>
      <c r="R8" s="1472">
        <v>7</v>
      </c>
      <c r="S8" s="1475"/>
      <c r="T8" s="1474" t="e">
        <f t="shared" si="0"/>
        <v>#DIV/0!</v>
      </c>
      <c r="U8" s="1475"/>
      <c r="V8" s="1474" t="e">
        <f t="shared" si="1"/>
        <v>#DIV/0!</v>
      </c>
      <c r="W8" s="1479" t="s">
        <v>1748</v>
      </c>
      <c r="X8" s="1480"/>
      <c r="Y8" s="1491" t="s">
        <v>1749</v>
      </c>
      <c r="Z8" s="1491" t="s">
        <v>1750</v>
      </c>
      <c r="AA8" s="1491" t="s">
        <v>1751</v>
      </c>
      <c r="AB8" s="1491" t="s">
        <v>1752</v>
      </c>
      <c r="AC8" s="1491" t="s">
        <v>1753</v>
      </c>
      <c r="AD8" s="1491" t="s">
        <v>1754</v>
      </c>
      <c r="AE8" s="1491" t="s">
        <v>1755</v>
      </c>
      <c r="AF8" s="1491" t="s">
        <v>1756</v>
      </c>
      <c r="AG8" s="1491" t="s">
        <v>1757</v>
      </c>
      <c r="AH8" s="1491" t="s">
        <v>1758</v>
      </c>
      <c r="AI8" s="1491" t="s">
        <v>1759</v>
      </c>
      <c r="AJ8" s="1491" t="s">
        <v>1760</v>
      </c>
    </row>
    <row r="9" ht="15.5" spans="1:36">
      <c r="A9" s="1218"/>
      <c r="B9" s="899" t="s">
        <v>1761</v>
      </c>
      <c r="C9" s="1224">
        <f>SUMIF(修正!C71:C138,C8,修正!E71:E138)</f>
        <v>0</v>
      </c>
      <c r="D9" s="1193" t="s">
        <v>1762</v>
      </c>
      <c r="E9" s="1193" t="e">
        <f>ROUND(C11/E7,4)</f>
        <v>#DIV/0!</v>
      </c>
      <c r="F9" s="1222" t="s">
        <v>1763</v>
      </c>
      <c r="G9" s="1223"/>
      <c r="H9" s="1223"/>
      <c r="I9" s="1223"/>
      <c r="J9" s="1398"/>
      <c r="K9" s="1183"/>
      <c r="L9" s="1390" t="s">
        <v>1764</v>
      </c>
      <c r="M9" s="1391">
        <f>SUMPRODUCT((区片价!B277:B326=I2)*(区片价!C3:G3=E2)*(区片价!C277:G326))</f>
        <v>0</v>
      </c>
      <c r="N9" s="1389">
        <f>SUMPRODUCT((因素修正幅度!B277:B326=I2)*(因素修正幅度!C3:G3=E2)*(因素修正幅度!C277:G326))</f>
        <v>0</v>
      </c>
      <c r="O9" s="1183"/>
      <c r="P9" s="1183"/>
      <c r="Q9" s="1183"/>
      <c r="R9" s="1472">
        <v>8</v>
      </c>
      <c r="S9" s="1475"/>
      <c r="T9" s="1474" t="e">
        <f t="shared" si="0"/>
        <v>#DIV/0!</v>
      </c>
      <c r="U9" s="1475"/>
      <c r="V9" s="1474" t="e">
        <f t="shared" si="1"/>
        <v>#DIV/0!</v>
      </c>
      <c r="W9" s="1477"/>
      <c r="X9" s="1481" t="s">
        <v>1765</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1766</v>
      </c>
      <c r="C10" s="1193">
        <f>SUMIF(修正!C71:C138,C8,修正!F71:F138)</f>
        <v>0</v>
      </c>
      <c r="D10" s="1193" t="s">
        <v>1767</v>
      </c>
      <c r="E10" s="1193" t="e">
        <f>ROUND(C11/E7,4)</f>
        <v>#DIV/0!</v>
      </c>
      <c r="F10" s="1222" t="s">
        <v>1768</v>
      </c>
      <c r="G10" s="1223"/>
      <c r="H10" s="1223"/>
      <c r="I10" s="1223"/>
      <c r="J10" s="1398"/>
      <c r="K10" s="1183"/>
      <c r="L10" s="1390" t="s">
        <v>1769</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t="e">
        <f t="shared" si="0"/>
        <v>#DIV/0!</v>
      </c>
      <c r="U10" s="1475"/>
      <c r="V10" s="1474" t="e">
        <f t="shared" si="1"/>
        <v>#DIV/0!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1770</v>
      </c>
      <c r="C11" s="1227">
        <f>C10/4</f>
        <v>0</v>
      </c>
      <c r="D11" s="1227" t="s">
        <v>1771</v>
      </c>
      <c r="E11" s="1227" t="e">
        <f>ROUND(C11/E7,4)</f>
        <v>#DIV/0!</v>
      </c>
      <c r="F11" s="1228" t="s">
        <v>1772</v>
      </c>
      <c r="G11" s="1229"/>
      <c r="H11" s="1229"/>
      <c r="I11" s="1229"/>
      <c r="J11" s="1399"/>
      <c r="K11" s="1183"/>
      <c r="L11" s="1390" t="s">
        <v>1773</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t="e">
        <f t="shared" si="0"/>
        <v>#DIV/0!</v>
      </c>
      <c r="U11" s="1475"/>
      <c r="V11" s="1474" t="e">
        <f t="shared" si="1"/>
        <v>#DIV/0!</v>
      </c>
      <c r="W11" s="1473"/>
      <c r="X11" s="1473"/>
      <c r="Y11" s="1473"/>
      <c r="Z11" s="1473"/>
      <c r="AA11" s="1473"/>
      <c r="AB11" s="1473"/>
      <c r="AC11" s="1486"/>
      <c r="AD11" s="1495"/>
      <c r="AE11" s="1495"/>
      <c r="AF11" s="1495"/>
      <c r="AG11" s="1495"/>
      <c r="AH11" s="1495"/>
      <c r="AI11" s="1495"/>
      <c r="AJ11" s="1498"/>
    </row>
    <row r="12" ht="26.75" spans="1:36">
      <c r="A12" s="1212" t="s">
        <v>1774</v>
      </c>
      <c r="B12" s="1230" t="s">
        <v>1775</v>
      </c>
      <c r="C12" s="1231">
        <v>1.02</v>
      </c>
      <c r="D12" s="1232" t="s">
        <v>1776</v>
      </c>
      <c r="E12" s="1233" t="s">
        <v>1777</v>
      </c>
      <c r="F12" s="1234"/>
      <c r="G12" s="1235"/>
      <c r="H12" s="1235"/>
      <c r="I12" s="1235"/>
      <c r="J12" s="1400"/>
      <c r="K12" s="1183"/>
      <c r="L12" s="1401" t="s">
        <v>1778</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t="e">
        <f t="shared" si="0"/>
        <v>#DIV/0!</v>
      </c>
      <c r="U12" s="1475"/>
      <c r="V12" s="1474" t="e">
        <f t="shared" si="1"/>
        <v>#DIV/0!</v>
      </c>
      <c r="W12" s="1473"/>
      <c r="X12" s="1473"/>
      <c r="Y12" s="1473"/>
      <c r="Z12" s="1473"/>
      <c r="AA12" s="1473"/>
      <c r="AB12" s="1473"/>
      <c r="AC12" s="1486"/>
      <c r="AD12" s="1495"/>
      <c r="AE12" s="1495"/>
      <c r="AF12" s="1495"/>
      <c r="AG12" s="1495"/>
      <c r="AH12" s="1495"/>
      <c r="AI12" s="1495"/>
      <c r="AJ12" s="1498"/>
    </row>
    <row r="13" ht="26.75" spans="1:36">
      <c r="A13" s="1212" t="s">
        <v>1779</v>
      </c>
      <c r="B13" s="1236" t="s">
        <v>1780</v>
      </c>
      <c r="C13" s="1213">
        <f>ROUND(C16*D16*E16*F16*G16*H16*I16*J16,4)</f>
        <v>0</v>
      </c>
      <c r="D13" s="1237" t="s">
        <v>1781</v>
      </c>
      <c r="E13" s="1238"/>
      <c r="F13" s="1238"/>
      <c r="G13" s="1239"/>
      <c r="H13" s="1239"/>
      <c r="I13" s="1239"/>
      <c r="J13" s="1403"/>
      <c r="K13" s="1183"/>
      <c r="L13" s="1361"/>
      <c r="M13" s="910"/>
      <c r="N13" s="1404"/>
      <c r="O13" s="1183"/>
      <c r="P13" s="1183"/>
      <c r="Q13" s="1183"/>
      <c r="R13" s="1472">
        <v>12</v>
      </c>
      <c r="S13" s="1475"/>
      <c r="T13" s="1474" t="e">
        <f t="shared" si="0"/>
        <v>#DIV/0!</v>
      </c>
      <c r="U13" s="1475"/>
      <c r="V13" s="1474" t="e">
        <f t="shared" si="1"/>
        <v>#DIV/0!</v>
      </c>
      <c r="W13" s="1473"/>
      <c r="X13" s="1473"/>
      <c r="Y13" s="1473"/>
      <c r="Z13" s="1473"/>
      <c r="AA13" s="1473"/>
      <c r="AB13" s="1473"/>
      <c r="AC13" s="1486"/>
      <c r="AD13" s="1495"/>
      <c r="AE13" s="1495"/>
      <c r="AF13" s="1495"/>
      <c r="AG13" s="1495"/>
      <c r="AH13" s="1495"/>
      <c r="AI13" s="1495"/>
      <c r="AJ13" s="1498"/>
    </row>
    <row r="14" ht="26" spans="1:36">
      <c r="A14" s="1240"/>
      <c r="B14" s="924" t="s">
        <v>1782</v>
      </c>
      <c r="C14" s="1241" t="s">
        <v>1783</v>
      </c>
      <c r="D14" s="1242" t="s">
        <v>1784</v>
      </c>
      <c r="E14" s="1243" t="s">
        <v>1785</v>
      </c>
      <c r="F14" s="1244" t="s">
        <v>1786</v>
      </c>
      <c r="G14" s="1244" t="s">
        <v>1786</v>
      </c>
      <c r="H14" s="1244" t="s">
        <v>1786</v>
      </c>
      <c r="I14" s="1244" t="s">
        <v>1786</v>
      </c>
      <c r="J14" s="1244" t="s">
        <v>1786</v>
      </c>
      <c r="K14" s="1183"/>
      <c r="L14" s="1183"/>
      <c r="M14" s="1183"/>
      <c r="N14" s="1183"/>
      <c r="O14" s="1183"/>
      <c r="P14" s="1183"/>
      <c r="Q14" s="1183"/>
      <c r="R14" s="1472">
        <v>13</v>
      </c>
      <c r="S14" s="1475"/>
      <c r="T14" s="1474" t="e">
        <f t="shared" si="0"/>
        <v>#DIV/0!</v>
      </c>
      <c r="U14" s="1475"/>
      <c r="V14" s="1474" t="e">
        <f t="shared" si="1"/>
        <v>#DIV/0!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1787</v>
      </c>
      <c r="G15" s="1249"/>
      <c r="H15" s="1250"/>
      <c r="I15" s="1405"/>
      <c r="J15" s="1406"/>
      <c r="K15" s="1183"/>
      <c r="L15" s="1183"/>
      <c r="M15" s="1183"/>
      <c r="N15" s="1183"/>
      <c r="O15" s="1183"/>
      <c r="P15" s="1183"/>
      <c r="Q15" s="1183"/>
      <c r="R15" s="1472">
        <v>14</v>
      </c>
      <c r="S15" s="1475"/>
      <c r="T15" s="1474" t="e">
        <f t="shared" si="0"/>
        <v>#DIV/0!</v>
      </c>
      <c r="U15" s="1475"/>
      <c r="V15" s="1474" t="e">
        <f t="shared" si="1"/>
        <v>#DIV/0!</v>
      </c>
      <c r="W15" s="1473"/>
      <c r="X15" s="1473"/>
      <c r="Y15" s="1473"/>
      <c r="Z15" s="1473"/>
      <c r="AA15" s="1473"/>
      <c r="AB15" s="1473"/>
      <c r="AC15" s="1486"/>
      <c r="AD15" s="1495"/>
      <c r="AE15" s="1495"/>
      <c r="AF15" s="1495"/>
      <c r="AG15" s="1495"/>
      <c r="AH15" s="1495"/>
      <c r="AI15" s="1495"/>
      <c r="AJ15" s="1498"/>
    </row>
    <row r="16" ht="16.25" spans="1:36">
      <c r="A16" s="1240"/>
      <c r="B16" s="1251" t="s">
        <v>1690</v>
      </c>
      <c r="C16" s="1252"/>
      <c r="D16" s="1252"/>
      <c r="E16" s="1252"/>
      <c r="F16" s="1252">
        <v>1</v>
      </c>
      <c r="G16" s="1252">
        <v>1</v>
      </c>
      <c r="H16" s="1252">
        <v>1</v>
      </c>
      <c r="I16" s="1252">
        <v>1</v>
      </c>
      <c r="J16" s="1407">
        <v>1</v>
      </c>
      <c r="K16" s="1183"/>
      <c r="L16" s="1184"/>
      <c r="M16" s="1184"/>
      <c r="N16" s="1184"/>
      <c r="O16" s="1184"/>
      <c r="P16" s="1184"/>
      <c r="Q16" s="1183"/>
      <c r="R16" s="1472">
        <v>15</v>
      </c>
      <c r="S16" s="1475"/>
      <c r="T16" s="1474" t="e">
        <f t="shared" si="0"/>
        <v>#DIV/0!</v>
      </c>
      <c r="U16" s="1475"/>
      <c r="V16" s="1474" t="e">
        <f t="shared" si="1"/>
        <v>#DIV/0!</v>
      </c>
      <c r="W16" s="1473"/>
      <c r="X16" s="1473"/>
      <c r="Y16" s="1473"/>
      <c r="Z16" s="1473"/>
      <c r="AA16" s="1473"/>
      <c r="AB16" s="1473"/>
      <c r="AC16" s="1486"/>
      <c r="AD16" s="1495"/>
      <c r="AE16" s="1495"/>
      <c r="AF16" s="1495"/>
      <c r="AG16" s="1495"/>
      <c r="AH16" s="1495"/>
      <c r="AI16" s="1495"/>
      <c r="AJ16" s="1498"/>
    </row>
    <row r="17" ht="26" spans="1:36">
      <c r="A17" s="1253" t="s">
        <v>1788</v>
      </c>
      <c r="B17" s="1254" t="s">
        <v>1789</v>
      </c>
      <c r="C17" s="1255">
        <f>ROUND(IF(OR(E2="工业",E2="公共服务"),1,IF(AND(E18=0,E19=0),1,IF(AND(E18=J24,E19=G19),0.8,IF(E19=0,1+E17*(-0.2),1+E17*G17*(-0.2))))),4)</f>
        <v>1</v>
      </c>
      <c r="D17" s="1256" t="s">
        <v>1790</v>
      </c>
      <c r="E17" s="1255">
        <f>ROUND(G18/I18,2)</f>
        <v>0</v>
      </c>
      <c r="F17" s="1256" t="s">
        <v>1791</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1792</v>
      </c>
      <c r="E18" s="967"/>
      <c r="F18" s="1260" t="s">
        <v>1793</v>
      </c>
      <c r="G18" s="1258">
        <f>ROUND(1-(1/(POWER(1+G24,E18))),4)</f>
        <v>0</v>
      </c>
      <c r="H18" s="1260" t="s">
        <v>1794</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1795</v>
      </c>
      <c r="E19" s="1264"/>
      <c r="F19" s="1265" t="s">
        <v>1796</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1797</v>
      </c>
      <c r="B20" s="895" t="s">
        <v>1798</v>
      </c>
      <c r="C20" s="1267">
        <f>ROUND(IF(F21="与级别开发程度一致",0,(G21-E21)/C21),0)</f>
        <v>0</v>
      </c>
      <c r="D20" s="1268" t="s">
        <v>1799</v>
      </c>
      <c r="E20" s="1269"/>
      <c r="F20" s="1270" t="s">
        <v>1800</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1802</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1803</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922</v>
      </c>
      <c r="B22" s="1281" t="s">
        <v>1804</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927</v>
      </c>
      <c r="B23" s="1286" t="s">
        <v>1805</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1806</v>
      </c>
      <c r="E23" s="1289">
        <v>44197</v>
      </c>
      <c r="F23" s="1288" t="s">
        <v>1807</v>
      </c>
      <c r="G23" s="1290">
        <f>'数据-取费表'!B2</f>
        <v>45608</v>
      </c>
      <c r="H23" s="1291" t="s">
        <v>1808</v>
      </c>
      <c r="I23" s="1420" t="str">
        <f>IF(H23="季度增幅（自定义）",SUMIF(N25:N28,E2,O25:O28),"")</f>
        <v/>
      </c>
      <c r="J23" s="1421" t="s">
        <v>1923</v>
      </c>
      <c r="K23" s="1417"/>
      <c r="L23" s="1422" t="s">
        <v>1810</v>
      </c>
      <c r="M23" s="1423">
        <f>ROUND(SUMIF(地价!B2:G2,E2,地价!B16:G16),0)</f>
        <v>350</v>
      </c>
      <c r="N23" s="1424" t="s">
        <v>1811</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930</v>
      </c>
      <c r="B24" s="1293" t="s">
        <v>1812</v>
      </c>
      <c r="C24" s="1294" t="e">
        <f>ROUND(POWER(1+G24,J24-I24)*(POWER(1+G24,I24)-1)/(POWER(1+G24,J24)-1),4)</f>
        <v>#DIV/0!</v>
      </c>
      <c r="D24" s="1295" t="s">
        <v>1813</v>
      </c>
      <c r="E24" s="1296">
        <f>存贷款利率!E27/100</f>
        <v>0.0435</v>
      </c>
      <c r="F24" s="1295" t="s">
        <v>1814</v>
      </c>
      <c r="G24" s="1297">
        <f>SUMIF(M30:Q30,E2,M33:Q33)</f>
        <v>0.055</v>
      </c>
      <c r="H24" s="1295" t="s">
        <v>1815</v>
      </c>
      <c r="I24" s="1426" t="e">
        <f>SUMIF('数据-取费表'!C6:C15,E2,'数据-取费表'!F6:F15)/COUNTIF('数据-取费表'!C6:C15,E2)</f>
        <v>#DIV/0!</v>
      </c>
      <c r="J24" s="1427">
        <f>IF(E2="住宅",70,IF(E2="商业",40,50))</f>
        <v>50</v>
      </c>
      <c r="K24" s="1417"/>
      <c r="L24" s="1428" t="s">
        <v>1816</v>
      </c>
      <c r="M24" s="1429">
        <f>ROUND(SUMPRODUCT((地价!A4:A16=YEAR(G23)&amp;"-"&amp;ROUNDUP(MONTH(G23)/3,0))*(地价!B2:G2=E2)*(地价!B4:G16)),0)</f>
        <v>0</v>
      </c>
      <c r="N24" s="1430" t="s">
        <v>1817</v>
      </c>
      <c r="O24" s="1431" t="s">
        <v>1818</v>
      </c>
      <c r="P24" s="1432" t="s">
        <v>1819</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953</v>
      </c>
      <c r="B25" s="1299" t="s">
        <v>1924</v>
      </c>
      <c r="C25" s="1300" t="e">
        <f>IF(B25="容积率修正",IF(G3&lt;10,D26,J26),C27)</f>
        <v>#DIV/0!</v>
      </c>
      <c r="D25" s="1301"/>
      <c r="E25" s="1301"/>
      <c r="F25" s="1301"/>
      <c r="G25" s="1301"/>
      <c r="H25" s="1301"/>
      <c r="I25" s="1301"/>
      <c r="J25" s="1433"/>
      <c r="K25" s="1417"/>
      <c r="L25" s="1418"/>
      <c r="M25" s="1418"/>
      <c r="N25" s="1434" t="s">
        <v>1821</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1822</v>
      </c>
      <c r="B26" s="1303" t="s">
        <v>1823</v>
      </c>
      <c r="C26" s="1303" t="s">
        <v>1824</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1825</v>
      </c>
      <c r="J26" s="1437" t="e">
        <f>IF(G3&gt;=10,D115,"——")</f>
        <v>#DIV/0!</v>
      </c>
      <c r="K26" s="1417"/>
      <c r="L26" s="1418"/>
      <c r="M26" s="1418"/>
      <c r="N26" s="1434" t="s">
        <v>1826</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1827</v>
      </c>
      <c r="B27" s="1305" t="s">
        <v>1828</v>
      </c>
      <c r="C27" s="1306">
        <f>ROUND(IF(I3&lt;6,SUMPRODUCT((B106:B110=I3)*(C105:N105=G2)*(C106:N110)),SUMIF(C105:N105,G2,C112:N112)),4)</f>
        <v>0</v>
      </c>
      <c r="D27" s="1190"/>
      <c r="E27" s="1190"/>
      <c r="F27" s="1307"/>
      <c r="G27" s="1308"/>
      <c r="H27" s="1309"/>
      <c r="I27" s="1438"/>
      <c r="J27" s="1439"/>
      <c r="K27" s="1183"/>
      <c r="L27" s="1184"/>
      <c r="M27" s="1184"/>
      <c r="N27" s="1434" t="s">
        <v>1829</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1830</v>
      </c>
      <c r="B28" s="1286" t="s">
        <v>1831</v>
      </c>
      <c r="C28" s="1287">
        <f>SUMIF(A47:A101,E2,B47:B101)</f>
        <v>1</v>
      </c>
      <c r="D28" s="1310"/>
      <c r="E28" s="1311"/>
      <c r="F28" s="1311"/>
      <c r="G28" s="1311"/>
      <c r="H28" s="1311"/>
      <c r="I28" s="1311"/>
      <c r="J28" s="1440"/>
      <c r="K28" s="1417"/>
      <c r="L28" s="1418"/>
      <c r="M28" s="1418"/>
      <c r="N28" s="1441" t="s">
        <v>1832</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1833</v>
      </c>
      <c r="B29" s="1312" t="s">
        <v>1834</v>
      </c>
      <c r="C29" s="1313"/>
      <c r="D29" s="1217"/>
      <c r="E29" s="1217"/>
      <c r="F29" s="1314"/>
      <c r="G29" s="1217"/>
      <c r="H29" s="1217"/>
      <c r="I29" s="1217"/>
      <c r="J29" s="1397"/>
      <c r="K29" s="1183"/>
      <c r="L29" s="1184"/>
      <c r="M29" s="1184"/>
      <c r="N29" s="1444" t="s">
        <v>1835</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1836</v>
      </c>
      <c r="C30" s="1316" t="e">
        <f>IF(B25="容积率修正",E33+SUM(E37:E42),SUM(V2:V16)+SUM(E37:E42))</f>
        <v>#DIV/0!</v>
      </c>
      <c r="D30" s="1317"/>
      <c r="E30" s="1190"/>
      <c r="F30" s="1318"/>
      <c r="G30" s="1190"/>
      <c r="H30" s="1190"/>
      <c r="I30" s="1190"/>
      <c r="J30" s="1447"/>
      <c r="K30" s="1183"/>
      <c r="L30" s="1448" t="s">
        <v>1722</v>
      </c>
      <c r="M30" s="1449" t="s">
        <v>1837</v>
      </c>
      <c r="N30" s="1449" t="s">
        <v>1838</v>
      </c>
      <c r="O30" s="1449" t="s">
        <v>1839</v>
      </c>
      <c r="P30" s="1449" t="s">
        <v>1840</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1841</v>
      </c>
      <c r="C31" s="1319" t="e">
        <f>E34+SUM(I37:I42)</f>
        <v>#DIV/0!</v>
      </c>
      <c r="D31" s="1320"/>
      <c r="E31" s="1321"/>
      <c r="F31" s="1322"/>
      <c r="G31" s="1321"/>
      <c r="H31" s="1321"/>
      <c r="I31" s="1321"/>
      <c r="J31" s="1450"/>
      <c r="K31" s="1183"/>
      <c r="L31" s="1451" t="s">
        <v>1842</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1843</v>
      </c>
      <c r="C32" s="1325" t="s">
        <v>1844</v>
      </c>
      <c r="D32" s="1325" t="s">
        <v>586</v>
      </c>
      <c r="E32" s="1326" t="s">
        <v>1845</v>
      </c>
      <c r="F32" s="1327"/>
      <c r="G32" s="1239"/>
      <c r="H32" s="1239"/>
      <c r="I32" s="1239"/>
      <c r="J32" s="1403"/>
      <c r="K32" s="1183"/>
      <c r="L32" s="1452" t="s">
        <v>1814</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1846</v>
      </c>
      <c r="C33" s="1330" t="e">
        <f>ROUND(C5*C22*C23*C24*C25*C28,0)</f>
        <v>#DIV/0!</v>
      </c>
      <c r="D33" s="1331">
        <f>'数据-汇总表'!F20</f>
        <v>0</v>
      </c>
      <c r="E33" s="1332" t="e">
        <f t="shared" ref="E33:E42" si="5">ROUND(C33*D33/10000,0)</f>
        <v>#DIV/0!</v>
      </c>
      <c r="F33" s="1333" t="s">
        <v>1847</v>
      </c>
      <c r="G33" s="1334"/>
      <c r="H33" s="1334"/>
      <c r="I33" s="1334"/>
      <c r="J33" s="1453"/>
      <c r="K33" s="1183"/>
      <c r="L33" s="1454" t="s">
        <v>1848</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1849</v>
      </c>
      <c r="C34" s="1276" t="e">
        <f>ROUND(IF(E2="工业",C33*M42,IF(B25="楼层修正",SUM(V2:V16)*M41*10000/D34,C33*M41)),0)</f>
        <v>#DIV/0!</v>
      </c>
      <c r="D34" s="1337"/>
      <c r="E34" s="1332" t="e">
        <f>ROUND(IF(B25="楼层修正",SUM(V2:V16)*M40,C34*D34/10000),0)</f>
        <v>#DIV/0!</v>
      </c>
      <c r="F34" s="1338" t="s">
        <v>1850</v>
      </c>
      <c r="G34" s="1339"/>
      <c r="H34" s="1339"/>
      <c r="I34" s="1339"/>
      <c r="J34" s="1456"/>
      <c r="K34" s="1183"/>
      <c r="L34" s="1454" t="s">
        <v>1851</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1852</v>
      </c>
      <c r="C35" s="1342" t="s">
        <v>1853</v>
      </c>
      <c r="D35" s="1239"/>
      <c r="E35" s="1343"/>
      <c r="F35" s="1343"/>
      <c r="G35" s="1237" t="s">
        <v>1850</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1844</v>
      </c>
      <c r="D36" s="1346" t="s">
        <v>586</v>
      </c>
      <c r="E36" s="1346" t="s">
        <v>1845</v>
      </c>
      <c r="F36" s="626" t="s">
        <v>1854</v>
      </c>
      <c r="G36" s="1347" t="s">
        <v>1844</v>
      </c>
      <c r="H36" s="1347" t="s">
        <v>586</v>
      </c>
      <c r="I36" s="1347" t="s">
        <v>1845</v>
      </c>
      <c r="J36" s="697"/>
      <c r="K36" s="1358" t="s">
        <v>1855</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1856</v>
      </c>
      <c r="C37" s="1330" t="e">
        <f>ROUND(D5*C22*C23*C24*C28*F37,0)</f>
        <v>#DIV/0!</v>
      </c>
      <c r="D37" s="1331"/>
      <c r="E37" s="1193" t="e">
        <f t="shared" si="5"/>
        <v>#DIV/0!</v>
      </c>
      <c r="F37" s="1193">
        <f>SUMIF(修正!A57:A68,G2,修正!B57:B68)</f>
        <v>0</v>
      </c>
      <c r="G37" s="1193" t="e">
        <f>ROUND(IF(E2="工业",C37*$M$42,C37*$M$41),0)</f>
        <v>#DIV/0!</v>
      </c>
      <c r="H37" s="1193">
        <f t="shared" ref="H37:H42" si="7">D37</f>
        <v>0</v>
      </c>
      <c r="I37" s="1193" t="e">
        <f t="shared" ref="I37:I42" si="8">ROUND(G37*H37/10000,0)</f>
        <v>#DIV/0!</v>
      </c>
      <c r="J37" s="1459"/>
      <c r="K37" s="1460" t="s">
        <v>1857</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1858</v>
      </c>
      <c r="C38" s="1330" t="e">
        <f>ROUND(D5*C22*C23*C24*C28*F38,0)</f>
        <v>#DIV/0!</v>
      </c>
      <c r="D38" s="1331"/>
      <c r="E38" s="1193" t="e">
        <f t="shared" si="5"/>
        <v>#DIV/0!</v>
      </c>
      <c r="F38" s="1193">
        <f>SUMIF(修正!A57:A68,G2,修正!C57:C68)</f>
        <v>0</v>
      </c>
      <c r="G38" s="1193" t="e">
        <f>ROUND(IF(E2="工业",C38*$M$42,C38*$M$41),0)</f>
        <v>#DIV/0!</v>
      </c>
      <c r="H38" s="1193">
        <f t="shared" si="7"/>
        <v>0</v>
      </c>
      <c r="I38" s="1193" t="e">
        <f t="shared" si="8"/>
        <v>#DIV/0!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1859</v>
      </c>
      <c r="C39" s="1330" t="e">
        <f>ROUND(D5*C22*C23*C24*C28*F39,0)</f>
        <v>#DIV/0!</v>
      </c>
      <c r="D39" s="1331"/>
      <c r="E39" s="1193" t="e">
        <f t="shared" si="5"/>
        <v>#DIV/0!</v>
      </c>
      <c r="F39" s="1193">
        <f>SUMIF(修正!A57:A68,G2,修正!D57:D68)</f>
        <v>0</v>
      </c>
      <c r="G39" s="1193" t="e">
        <f>ROUND(IF(E2="工业",C39*$M$42,C39*$M$41),0)</f>
        <v>#DIV/0!</v>
      </c>
      <c r="H39" s="1193">
        <f t="shared" si="7"/>
        <v>0</v>
      </c>
      <c r="I39" s="1193" t="e">
        <f t="shared" si="8"/>
        <v>#DIV/0!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1860</v>
      </c>
      <c r="C40" s="1193" t="e">
        <f>ROUND(D5*C22*C23*C24*C28*F40,0)</f>
        <v>#DIV/0!</v>
      </c>
      <c r="D40" s="1331"/>
      <c r="E40" s="1193" t="e">
        <f t="shared" si="5"/>
        <v>#DIV/0!</v>
      </c>
      <c r="F40" s="1330">
        <f>SUMIF(修正!A57:A68,G2,修正!E57:E68)</f>
        <v>0</v>
      </c>
      <c r="G40" s="1193" t="e">
        <f>ROUND(IF(E2="工业",C40*$M$42,C40*$M$41),0)</f>
        <v>#DIV/0!</v>
      </c>
      <c r="H40" s="1193">
        <f t="shared" si="7"/>
        <v>0</v>
      </c>
      <c r="I40" s="1193" t="e">
        <f t="shared" si="8"/>
        <v>#DIV/0!</v>
      </c>
      <c r="J40" s="1461"/>
      <c r="L40" s="1462" t="s">
        <v>1861</v>
      </c>
      <c r="M40" s="1463"/>
      <c r="Z40" s="1354"/>
      <c r="AA40" s="1354"/>
      <c r="AB40" s="1354"/>
      <c r="AC40" s="1354"/>
      <c r="AD40" s="1354"/>
      <c r="AE40" s="1354"/>
      <c r="AF40" s="1354"/>
      <c r="AG40" s="1354"/>
      <c r="AH40" s="1354"/>
      <c r="AI40" s="1354"/>
      <c r="AJ40" s="1354"/>
    </row>
    <row r="41" s="1183" customFormat="1" ht="13" spans="1:36">
      <c r="A41" s="1351"/>
      <c r="B41" s="1241" t="s">
        <v>1862</v>
      </c>
      <c r="C41" s="1193" t="e">
        <f>ROUND(D5*C22*C23*C44*C28*F41,0)</f>
        <v>#DIV/0!</v>
      </c>
      <c r="D41" s="1331"/>
      <c r="E41" s="1193" t="e">
        <f t="shared" si="5"/>
        <v>#DIV/0!</v>
      </c>
      <c r="F41" s="1330">
        <f>SUMIF(修正!A57:A68,G2,修正!F57:F68)</f>
        <v>0</v>
      </c>
      <c r="G41" s="1193" t="e">
        <f>ROUND(IF(E2="工业",C41*$M$42,C41*$M$41),0)</f>
        <v>#DIV/0!</v>
      </c>
      <c r="H41" s="1193">
        <f t="shared" si="7"/>
        <v>0</v>
      </c>
      <c r="I41" s="1193" t="e">
        <f t="shared" si="8"/>
        <v>#DIV/0!</v>
      </c>
      <c r="J41" s="1461"/>
      <c r="L41" s="1464" t="s">
        <v>1863</v>
      </c>
      <c r="M41" s="1465">
        <v>0.25</v>
      </c>
      <c r="Z41" s="1354"/>
      <c r="AA41" s="1354"/>
      <c r="AB41" s="1354"/>
      <c r="AC41" s="1354"/>
      <c r="AD41" s="1354"/>
      <c r="AE41" s="1354"/>
      <c r="AF41" s="1354"/>
      <c r="AG41" s="1354"/>
      <c r="AH41" s="1354"/>
      <c r="AI41" s="1354"/>
      <c r="AJ41" s="1354"/>
    </row>
    <row r="42" s="1183" customFormat="1" ht="13.75" spans="1:36">
      <c r="A42" s="1335"/>
      <c r="B42" s="1352" t="s">
        <v>1864</v>
      </c>
      <c r="C42" s="1276" t="e">
        <f>ROUND(D5*C22*C23*C44*C28*F42,0)</f>
        <v>#DIV/0!</v>
      </c>
      <c r="D42" s="1337">
        <f>'数据-汇总表'!G21</f>
        <v>0</v>
      </c>
      <c r="E42" s="1276" t="e">
        <f t="shared" si="5"/>
        <v>#DIV/0!</v>
      </c>
      <c r="F42" s="1353">
        <f>SUMIF(修正!A57:A68,G2,修正!G57:G68)</f>
        <v>0</v>
      </c>
      <c r="G42" s="1276" t="e">
        <f>ROUND(IF(E2="工业",C42*$M$42,C42*$M$41),0)</f>
        <v>#DIV/0!</v>
      </c>
      <c r="H42" s="1276">
        <f t="shared" si="7"/>
        <v>0</v>
      </c>
      <c r="I42" s="1276" t="e">
        <f t="shared" si="8"/>
        <v>#DIV/0!</v>
      </c>
      <c r="J42" s="1466"/>
      <c r="L42" s="1467" t="s">
        <v>1840</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1865</v>
      </c>
      <c r="C44" s="626" t="e">
        <f>ROUND(POWER(1+E44,H44-G44)*(POWER(1+E44,G44)-1)/(POWER(1+E44,H44)-1),4)</f>
        <v>#DIV/0!</v>
      </c>
      <c r="D44" s="1193" t="s">
        <v>1814</v>
      </c>
      <c r="E44" s="1356">
        <f>G24</f>
        <v>0.055</v>
      </c>
      <c r="F44" s="1193" t="s">
        <v>1815</v>
      </c>
      <c r="G44" s="1357" t="e">
        <f>I24</f>
        <v>#DIV/0!</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1866</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1867</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1868</v>
      </c>
      <c r="B49" s="1369" t="s">
        <v>1869</v>
      </c>
      <c r="C49" s="1369" t="s">
        <v>1870</v>
      </c>
      <c r="D49" s="1369" t="s">
        <v>1871</v>
      </c>
      <c r="E49" s="1370" t="s">
        <v>1872</v>
      </c>
      <c r="F49" s="1371" t="s">
        <v>1873</v>
      </c>
      <c r="G49" s="1369" t="s">
        <v>1690</v>
      </c>
      <c r="H49" s="1372" t="s">
        <v>1874</v>
      </c>
      <c r="I49" s="1369" t="s">
        <v>1875</v>
      </c>
      <c r="J49" s="745" t="s">
        <v>1233</v>
      </c>
      <c r="K49" s="745" t="s">
        <v>1234</v>
      </c>
      <c r="L49" s="745" t="s">
        <v>1235</v>
      </c>
      <c r="M49" s="745" t="s">
        <v>1236</v>
      </c>
      <c r="N49" s="745" t="s">
        <v>1237</v>
      </c>
      <c r="AA49" s="1354"/>
      <c r="AB49" s="1354"/>
      <c r="AC49" s="1354"/>
      <c r="AD49" s="1354"/>
      <c r="AE49" s="1354"/>
      <c r="AF49" s="1354"/>
      <c r="AG49" s="1354"/>
      <c r="AH49" s="1354"/>
      <c r="AI49" s="1354"/>
      <c r="AJ49" s="1354"/>
      <c r="AK49" s="1354"/>
    </row>
    <row r="50" s="1183" customFormat="1" ht="39" spans="1:37">
      <c r="A50" s="1368" t="s">
        <v>1876</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1877</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1878</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1879</v>
      </c>
      <c r="B53" s="1380" t="s">
        <v>1880</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1881</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1882</v>
      </c>
      <c r="B55" s="1381" t="s">
        <v>1883</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1884</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1885</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1886</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1887</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1868</v>
      </c>
      <c r="B60" s="1369"/>
      <c r="C60" s="1369" t="s">
        <v>1870</v>
      </c>
      <c r="D60" s="1369" t="s">
        <v>1871</v>
      </c>
      <c r="E60" s="1370" t="s">
        <v>1872</v>
      </c>
      <c r="F60" s="1371" t="s">
        <v>1888</v>
      </c>
      <c r="G60" s="1369" t="s">
        <v>1690</v>
      </c>
      <c r="H60" s="1372" t="s">
        <v>1874</v>
      </c>
      <c r="I60" s="1369" t="s">
        <v>1875</v>
      </c>
      <c r="J60" s="745" t="s">
        <v>1233</v>
      </c>
      <c r="K60" s="745" t="s">
        <v>1234</v>
      </c>
      <c r="L60" s="745" t="s">
        <v>1235</v>
      </c>
      <c r="M60" s="745" t="s">
        <v>1236</v>
      </c>
      <c r="N60" s="745" t="s">
        <v>1237</v>
      </c>
      <c r="AA60" s="1354"/>
      <c r="AB60" s="1354"/>
      <c r="AC60" s="1354"/>
      <c r="AD60" s="1354"/>
      <c r="AE60" s="1354"/>
      <c r="AF60" s="1354"/>
      <c r="AG60" s="1354"/>
      <c r="AH60" s="1354"/>
      <c r="AI60" s="1354"/>
      <c r="AJ60" s="1354"/>
      <c r="AK60" s="1354"/>
    </row>
    <row r="61" s="1183" customFormat="1" ht="39" spans="1:37">
      <c r="A61" s="1368" t="s">
        <v>1889</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1877</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1878</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1879</v>
      </c>
      <c r="B64" s="1380" t="s">
        <v>1880</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1881</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1882</v>
      </c>
      <c r="B66" s="1381" t="s">
        <v>1883</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1884</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1885</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1886</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1892</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1868</v>
      </c>
      <c r="B71" s="1369"/>
      <c r="C71" s="1369" t="s">
        <v>1870</v>
      </c>
      <c r="D71" s="1369" t="s">
        <v>1871</v>
      </c>
      <c r="E71" s="1370" t="s">
        <v>1872</v>
      </c>
      <c r="F71" s="1371" t="s">
        <v>1888</v>
      </c>
      <c r="G71" s="1369" t="s">
        <v>1690</v>
      </c>
      <c r="H71" s="1372" t="s">
        <v>1874</v>
      </c>
      <c r="I71" s="1369" t="s">
        <v>1875</v>
      </c>
      <c r="J71" s="745" t="s">
        <v>1233</v>
      </c>
      <c r="K71" s="745" t="s">
        <v>1234</v>
      </c>
      <c r="L71" s="745" t="s">
        <v>1235</v>
      </c>
      <c r="M71" s="745" t="s">
        <v>1236</v>
      </c>
      <c r="N71" s="745" t="s">
        <v>1237</v>
      </c>
      <c r="AA71" s="1354"/>
      <c r="AB71" s="1354"/>
      <c r="AC71" s="1354"/>
      <c r="AD71" s="1354"/>
      <c r="AE71" s="1354"/>
      <c r="AF71" s="1354"/>
      <c r="AG71" s="1354"/>
      <c r="AH71" s="1354"/>
      <c r="AI71" s="1354"/>
      <c r="AJ71" s="1354"/>
      <c r="AK71" s="1354"/>
    </row>
    <row r="72" s="1183" customFormat="1" ht="52" spans="1:37">
      <c r="A72" s="1368" t="s">
        <v>1893</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1877</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1878</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1894</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1884</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1885</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1882</v>
      </c>
      <c r="B78" s="1381" t="s">
        <v>1883</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1886</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1895</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1896</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1868</v>
      </c>
      <c r="B82" s="1369"/>
      <c r="C82" s="1369" t="s">
        <v>1870</v>
      </c>
      <c r="D82" s="1369" t="s">
        <v>1871</v>
      </c>
      <c r="E82" s="1370" t="s">
        <v>1872</v>
      </c>
      <c r="F82" s="1371" t="s">
        <v>1888</v>
      </c>
      <c r="G82" s="1369" t="s">
        <v>1690</v>
      </c>
      <c r="H82" s="1372" t="s">
        <v>1874</v>
      </c>
      <c r="I82" s="1369" t="s">
        <v>1875</v>
      </c>
      <c r="J82" s="745" t="s">
        <v>1233</v>
      </c>
      <c r="K82" s="745" t="s">
        <v>1234</v>
      </c>
      <c r="L82" s="745" t="s">
        <v>1235</v>
      </c>
      <c r="M82" s="745" t="s">
        <v>1236</v>
      </c>
      <c r="N82" s="745" t="s">
        <v>1237</v>
      </c>
      <c r="Z82" s="1187"/>
      <c r="AA82" s="1185"/>
      <c r="AG82" s="1189"/>
      <c r="AK82" s="1185"/>
    </row>
    <row r="83" ht="39" spans="1:37">
      <c r="A83" s="1368" t="s">
        <v>1897</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1877</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1878</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1894</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1884</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1885</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1882</v>
      </c>
      <c r="B89" s="1381" t="s">
        <v>1899</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1900</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1868</v>
      </c>
      <c r="B92" s="912"/>
      <c r="C92" s="912" t="s">
        <v>1870</v>
      </c>
      <c r="D92" s="912" t="s">
        <v>1871</v>
      </c>
      <c r="E92" s="1484" t="s">
        <v>1872</v>
      </c>
      <c r="F92" s="1515" t="s">
        <v>1888</v>
      </c>
      <c r="G92" s="912" t="s">
        <v>1690</v>
      </c>
      <c r="H92" s="1516" t="s">
        <v>1874</v>
      </c>
      <c r="I92" s="912" t="s">
        <v>1875</v>
      </c>
      <c r="J92" s="744" t="s">
        <v>1233</v>
      </c>
      <c r="K92" s="744" t="s">
        <v>1234</v>
      </c>
      <c r="L92" s="744" t="s">
        <v>1235</v>
      </c>
      <c r="M92" s="744" t="s">
        <v>1236</v>
      </c>
      <c r="N92" s="744" t="s">
        <v>1237</v>
      </c>
    </row>
    <row r="93" ht="26" spans="1:14">
      <c r="A93" s="1379" t="s">
        <v>1901</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1877</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1878</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1879</v>
      </c>
      <c r="B96" s="1522" t="s">
        <v>1880</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1881</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1882</v>
      </c>
      <c r="B98" s="1523" t="s">
        <v>1883</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1884</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1885</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1886</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1902</v>
      </c>
      <c r="B103" s="909"/>
      <c r="C103" s="909"/>
      <c r="D103" s="909"/>
      <c r="E103" s="909"/>
      <c r="F103" s="909"/>
      <c r="G103" s="909"/>
      <c r="H103" s="909"/>
      <c r="I103" s="909"/>
      <c r="J103" s="909"/>
      <c r="K103" s="909"/>
      <c r="L103" s="909"/>
      <c r="M103" s="909"/>
      <c r="N103" s="909"/>
    </row>
    <row r="104" ht="13" spans="1:14">
      <c r="A104" s="1527" t="s">
        <v>1903</v>
      </c>
      <c r="B104" s="1527" t="s">
        <v>1904</v>
      </c>
      <c r="C104" s="1528" t="s">
        <v>1905</v>
      </c>
      <c r="D104" s="1529"/>
      <c r="E104" s="1529"/>
      <c r="F104" s="1529"/>
      <c r="G104" s="1529"/>
      <c r="H104" s="1529"/>
      <c r="I104" s="1529"/>
      <c r="J104" s="1550"/>
      <c r="K104" s="1551"/>
      <c r="L104" s="1551"/>
      <c r="M104" s="1551"/>
      <c r="N104" s="1551"/>
    </row>
    <row r="105" ht="13" spans="1:14">
      <c r="A105" s="1527"/>
      <c r="B105" s="1527"/>
      <c r="C105" s="1527" t="s">
        <v>1749</v>
      </c>
      <c r="D105" s="1527" t="s">
        <v>1750</v>
      </c>
      <c r="E105" s="1527" t="s">
        <v>1751</v>
      </c>
      <c r="F105" s="1527" t="s">
        <v>1752</v>
      </c>
      <c r="G105" s="1527" t="s">
        <v>1753</v>
      </c>
      <c r="H105" s="1527" t="s">
        <v>1754</v>
      </c>
      <c r="I105" s="1527" t="s">
        <v>1755</v>
      </c>
      <c r="J105" s="1527" t="s">
        <v>1756</v>
      </c>
      <c r="K105" s="1527" t="s">
        <v>1757</v>
      </c>
      <c r="L105" s="1527" t="s">
        <v>1758</v>
      </c>
      <c r="M105" s="1527" t="s">
        <v>1759</v>
      </c>
      <c r="N105" s="1527" t="s">
        <v>1760</v>
      </c>
    </row>
    <row r="106" spans="1:14">
      <c r="A106" s="1530" t="s">
        <v>1906</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1765</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1907</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1908</v>
      </c>
      <c r="B116" s="1537" t="e">
        <f>G3</f>
        <v>#DIV/0!</v>
      </c>
      <c r="C116" s="1538" t="s">
        <v>1909</v>
      </c>
      <c r="D116" s="1539" t="e">
        <f>SUMPRODUCT((A118:A122=F116)*(B117:M117=H116)*B118:M122)</f>
        <v>#DIV/0!</v>
      </c>
      <c r="E116" s="899" t="s">
        <v>1722</v>
      </c>
      <c r="F116" s="1540" t="str">
        <f>E2</f>
        <v>办公</v>
      </c>
      <c r="G116" s="899" t="s">
        <v>1723</v>
      </c>
      <c r="H116" s="1540">
        <f>G2</f>
        <v>0</v>
      </c>
      <c r="I116" s="899"/>
      <c r="J116" s="1552"/>
      <c r="K116" s="1552"/>
      <c r="L116" s="1552"/>
      <c r="M116" s="1552"/>
      <c r="N116" s="1535"/>
    </row>
    <row r="117" ht="13" spans="1:14">
      <c r="A117" s="1541"/>
      <c r="B117" s="1542" t="s">
        <v>1910</v>
      </c>
      <c r="C117" s="1542" t="s">
        <v>1911</v>
      </c>
      <c r="D117" s="1542" t="s">
        <v>1912</v>
      </c>
      <c r="E117" s="1543" t="s">
        <v>1913</v>
      </c>
      <c r="F117" s="1543" t="s">
        <v>1914</v>
      </c>
      <c r="G117" s="1543" t="s">
        <v>1915</v>
      </c>
      <c r="H117" s="1544" t="s">
        <v>1916</v>
      </c>
      <c r="I117" s="1544" t="s">
        <v>1917</v>
      </c>
      <c r="J117" s="1553" t="s">
        <v>1918</v>
      </c>
      <c r="K117" s="1553" t="s">
        <v>1919</v>
      </c>
      <c r="L117" s="1553" t="s">
        <v>1920</v>
      </c>
      <c r="M117" s="1554" t="s">
        <v>1921</v>
      </c>
      <c r="N117" s="1535"/>
    </row>
    <row r="118" ht="13" spans="1:14">
      <c r="A118" s="1451" t="s">
        <v>1837</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1838</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1839</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1840</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675</v>
      </c>
      <c r="B2" s="1119">
        <v>3.5</v>
      </c>
      <c r="C2" s="1119">
        <v>3.5</v>
      </c>
      <c r="D2" s="1120">
        <v>2.5</v>
      </c>
      <c r="E2" s="1120">
        <v>2.5</v>
      </c>
      <c r="F2" s="1120">
        <v>2.5</v>
      </c>
      <c r="G2" s="1120">
        <v>2.5</v>
      </c>
      <c r="H2" s="1120">
        <v>2.5</v>
      </c>
      <c r="I2" s="1119">
        <v>2</v>
      </c>
      <c r="J2" s="1119">
        <v>2</v>
      </c>
      <c r="K2" s="1119">
        <v>2</v>
      </c>
      <c r="L2" s="1119">
        <v>2</v>
      </c>
      <c r="M2" s="1172">
        <v>2</v>
      </c>
    </row>
    <row r="3" customHeight="1" spans="1:13">
      <c r="A3" s="1121" t="s">
        <v>573</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1925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1801</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1926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1927</v>
      </c>
      <c r="B18" s="1134"/>
      <c r="C18" s="1135"/>
      <c r="D18" s="1135"/>
      <c r="E18" s="1134"/>
      <c r="F18" s="1135"/>
      <c r="G18" s="1135"/>
    </row>
    <row r="19" customHeight="1" spans="1:7">
      <c r="A19" s="1133" t="s">
        <v>1928</v>
      </c>
      <c r="B19" s="1136" t="s">
        <v>1929</v>
      </c>
      <c r="C19" s="1136" t="s">
        <v>1930</v>
      </c>
      <c r="D19" s="1137"/>
      <c r="E19" s="1133" t="s">
        <v>1931</v>
      </c>
      <c r="F19" s="1138"/>
      <c r="G19" s="1138"/>
    </row>
    <row r="20" customHeight="1" spans="1:7">
      <c r="A20" s="1139" t="s">
        <v>675</v>
      </c>
      <c r="B20" s="1140" t="s">
        <v>1932</v>
      </c>
      <c r="C20" s="1141" t="s">
        <v>1727</v>
      </c>
      <c r="D20" s="1142"/>
      <c r="E20" s="1143">
        <v>1</v>
      </c>
      <c r="F20" s="1144" t="s">
        <v>1933</v>
      </c>
      <c r="G20" s="1144"/>
    </row>
    <row r="21" customHeight="1" spans="1:7">
      <c r="A21" s="1145"/>
      <c r="B21" s="1146"/>
      <c r="C21" s="1147" t="s">
        <v>1934</v>
      </c>
      <c r="D21" s="1148"/>
      <c r="E21" s="1149">
        <v>1</v>
      </c>
      <c r="F21" s="1144" t="s">
        <v>1935</v>
      </c>
      <c r="G21" s="1144"/>
    </row>
    <row r="22" customHeight="1" spans="1:7">
      <c r="A22" s="1145"/>
      <c r="B22" s="1146"/>
      <c r="C22" s="1147" t="s">
        <v>1936</v>
      </c>
      <c r="D22" s="1148"/>
      <c r="E22" s="1149">
        <v>0.9</v>
      </c>
      <c r="F22" s="1144" t="s">
        <v>1937</v>
      </c>
      <c r="G22" s="1144"/>
    </row>
    <row r="23" customHeight="1" spans="1:7">
      <c r="A23" s="1145"/>
      <c r="B23" s="1146"/>
      <c r="C23" s="1147" t="s">
        <v>1938</v>
      </c>
      <c r="D23" s="1148"/>
      <c r="E23" s="1149">
        <v>0.9</v>
      </c>
      <c r="F23" s="1144" t="s">
        <v>1939</v>
      </c>
      <c r="G23" s="1144"/>
    </row>
    <row r="24" customHeight="1" spans="1:7">
      <c r="A24" s="1145"/>
      <c r="B24" s="1146"/>
      <c r="C24" s="1147" t="s">
        <v>1940</v>
      </c>
      <c r="D24" s="1148"/>
      <c r="E24" s="1149">
        <v>0.8</v>
      </c>
      <c r="F24" s="1144" t="s">
        <v>1941</v>
      </c>
      <c r="G24" s="1144"/>
    </row>
    <row r="25" customHeight="1" spans="1:7">
      <c r="A25" s="1150"/>
      <c r="B25" s="1151"/>
      <c r="C25" s="1152" t="s">
        <v>1942</v>
      </c>
      <c r="D25" s="1153"/>
      <c r="E25" s="1154">
        <v>0.8</v>
      </c>
      <c r="F25" s="1144" t="s">
        <v>1943</v>
      </c>
      <c r="G25" s="1144"/>
    </row>
    <row r="26" customHeight="1" spans="1:7">
      <c r="A26" s="1155" t="s">
        <v>573</v>
      </c>
      <c r="B26" s="1156" t="s">
        <v>1932</v>
      </c>
      <c r="C26" s="1157" t="s">
        <v>1922</v>
      </c>
      <c r="D26" s="1158"/>
      <c r="E26" s="1159">
        <v>1</v>
      </c>
      <c r="F26" s="1144" t="s">
        <v>1944</v>
      </c>
      <c r="G26" s="1144"/>
    </row>
    <row r="27" customHeight="1" spans="1:7">
      <c r="A27" s="1160" t="s">
        <v>280</v>
      </c>
      <c r="B27" s="1140" t="s">
        <v>280</v>
      </c>
      <c r="C27" s="1141" t="s">
        <v>1945</v>
      </c>
      <c r="D27" s="1142"/>
      <c r="E27" s="1143">
        <v>1</v>
      </c>
      <c r="F27" s="1144" t="s">
        <v>1946</v>
      </c>
      <c r="G27" s="1144"/>
    </row>
    <row r="28" customHeight="1" spans="1:7">
      <c r="A28" s="1161"/>
      <c r="B28" s="1146"/>
      <c r="C28" s="1147" t="s">
        <v>1947</v>
      </c>
      <c r="D28" s="1148"/>
      <c r="E28" s="1149">
        <v>1</v>
      </c>
      <c r="F28" s="1144" t="s">
        <v>1948</v>
      </c>
      <c r="G28" s="1144"/>
    </row>
    <row r="29" customHeight="1" spans="1:7">
      <c r="A29" s="1161"/>
      <c r="B29" s="1146"/>
      <c r="C29" s="1147" t="s">
        <v>1949</v>
      </c>
      <c r="D29" s="1148"/>
      <c r="E29" s="1149">
        <v>0.8</v>
      </c>
      <c r="F29" s="1144" t="s">
        <v>1950</v>
      </c>
      <c r="G29" s="1144"/>
    </row>
    <row r="30" customHeight="1" spans="1:7">
      <c r="A30" s="1161"/>
      <c r="B30" s="1146"/>
      <c r="C30" s="1147" t="s">
        <v>1951</v>
      </c>
      <c r="D30" s="1148"/>
      <c r="E30" s="1149">
        <v>0.8</v>
      </c>
      <c r="F30" s="1144" t="s">
        <v>1952</v>
      </c>
      <c r="G30" s="1144"/>
    </row>
    <row r="31" customHeight="1" spans="1:7">
      <c r="A31" s="1161"/>
      <c r="B31" s="1146"/>
      <c r="C31" s="1147" t="s">
        <v>1953</v>
      </c>
      <c r="D31" s="1148"/>
      <c r="E31" s="1149">
        <v>0.8</v>
      </c>
      <c r="F31" s="1144" t="s">
        <v>1954</v>
      </c>
      <c r="G31" s="1144"/>
    </row>
    <row r="32" customHeight="1" spans="1:7">
      <c r="A32" s="1161"/>
      <c r="B32" s="1146"/>
      <c r="C32" s="1147" t="s">
        <v>1955</v>
      </c>
      <c r="D32" s="1148"/>
      <c r="E32" s="1149">
        <v>0.7</v>
      </c>
      <c r="F32" s="1144" t="s">
        <v>1956</v>
      </c>
      <c r="G32" s="1144"/>
    </row>
    <row r="33" customHeight="1" spans="1:7">
      <c r="A33" s="1161"/>
      <c r="B33" s="1146"/>
      <c r="C33" s="1147" t="s">
        <v>1957</v>
      </c>
      <c r="D33" s="1148"/>
      <c r="E33" s="1149">
        <v>0.8</v>
      </c>
      <c r="F33" s="1144" t="s">
        <v>1958</v>
      </c>
      <c r="G33" s="1144"/>
    </row>
    <row r="34" customHeight="1" spans="1:7">
      <c r="A34" s="1161"/>
      <c r="B34" s="1146"/>
      <c r="C34" s="1147" t="s">
        <v>1959</v>
      </c>
      <c r="D34" s="1148"/>
      <c r="E34" s="1149">
        <v>0.6</v>
      </c>
      <c r="F34" s="1144" t="s">
        <v>1960</v>
      </c>
      <c r="G34" s="1144"/>
    </row>
    <row r="35" customHeight="1" spans="1:7">
      <c r="A35" s="1161"/>
      <c r="B35" s="1146"/>
      <c r="C35" s="1147" t="s">
        <v>1961</v>
      </c>
      <c r="D35" s="1148"/>
      <c r="E35" s="1149">
        <v>0.2</v>
      </c>
      <c r="F35" s="1144" t="s">
        <v>1962</v>
      </c>
      <c r="G35" s="1144"/>
    </row>
    <row r="36" customHeight="1" spans="1:7">
      <c r="A36" s="1161"/>
      <c r="B36" s="1146"/>
      <c r="C36" s="1147" t="s">
        <v>1963</v>
      </c>
      <c r="D36" s="1148"/>
      <c r="E36" s="1149">
        <v>0.2</v>
      </c>
      <c r="F36" s="1144" t="s">
        <v>1964</v>
      </c>
      <c r="G36" s="1144"/>
    </row>
    <row r="37" customHeight="1" spans="1:7">
      <c r="A37" s="1161"/>
      <c r="B37" s="1162" t="s">
        <v>1965</v>
      </c>
      <c r="C37" s="1147" t="s">
        <v>1966</v>
      </c>
      <c r="D37" s="1148"/>
      <c r="E37" s="1149">
        <v>0.6</v>
      </c>
      <c r="F37" s="1144" t="s">
        <v>1967</v>
      </c>
      <c r="G37" s="1144"/>
    </row>
    <row r="38" customHeight="1" spans="1:7">
      <c r="A38" s="1161"/>
      <c r="B38" s="1146"/>
      <c r="C38" s="1147" t="s">
        <v>1968</v>
      </c>
      <c r="D38" s="1148"/>
      <c r="E38" s="1149">
        <v>0.6</v>
      </c>
      <c r="F38" s="1144" t="s">
        <v>1969</v>
      </c>
      <c r="G38" s="1144"/>
    </row>
    <row r="39" customHeight="1" spans="1:7">
      <c r="A39" s="1163"/>
      <c r="B39" s="1151"/>
      <c r="C39" s="1152" t="s">
        <v>1970</v>
      </c>
      <c r="D39" s="1153"/>
      <c r="E39" s="1154">
        <v>0.6</v>
      </c>
      <c r="F39" s="1144" t="s">
        <v>1971</v>
      </c>
      <c r="G39" s="1144"/>
    </row>
    <row r="40" customHeight="1" spans="1:7">
      <c r="A40" s="1155" t="s">
        <v>430</v>
      </c>
      <c r="B40" s="1156" t="s">
        <v>430</v>
      </c>
      <c r="C40" s="1157" t="s">
        <v>1972</v>
      </c>
      <c r="D40" s="1158"/>
      <c r="E40" s="1159">
        <v>1</v>
      </c>
      <c r="F40" s="1144" t="s">
        <v>1973</v>
      </c>
      <c r="G40" s="1144"/>
    </row>
    <row r="41" customHeight="1" spans="1:7">
      <c r="A41" s="1139" t="s">
        <v>426</v>
      </c>
      <c r="B41" s="1140" t="s">
        <v>1974</v>
      </c>
      <c r="C41" s="1141" t="s">
        <v>1975</v>
      </c>
      <c r="D41" s="1142"/>
      <c r="E41" s="1143">
        <v>1</v>
      </c>
      <c r="F41" s="1144" t="s">
        <v>1976</v>
      </c>
      <c r="G41" s="1144"/>
    </row>
    <row r="42" customHeight="1" spans="1:7">
      <c r="A42" s="1145"/>
      <c r="B42" s="1146"/>
      <c r="C42" s="1147" t="s">
        <v>1977</v>
      </c>
      <c r="D42" s="1148"/>
      <c r="E42" s="1149">
        <v>1</v>
      </c>
      <c r="F42" s="1144" t="s">
        <v>1978</v>
      </c>
      <c r="G42" s="1144"/>
    </row>
    <row r="43" customHeight="1" spans="1:7">
      <c r="A43" s="1145"/>
      <c r="B43" s="1164"/>
      <c r="C43" s="1147" t="s">
        <v>1979</v>
      </c>
      <c r="D43" s="1148"/>
      <c r="E43" s="1149">
        <v>1.5</v>
      </c>
      <c r="F43" s="1144" t="s">
        <v>1980</v>
      </c>
      <c r="G43" s="1144"/>
    </row>
    <row r="44" customHeight="1" spans="1:7">
      <c r="A44" s="1145"/>
      <c r="B44" s="1165" t="s">
        <v>280</v>
      </c>
      <c r="C44" s="1147" t="s">
        <v>1925</v>
      </c>
      <c r="D44" s="1148"/>
      <c r="E44" s="1149">
        <v>2</v>
      </c>
      <c r="F44" s="1144" t="s">
        <v>1981</v>
      </c>
      <c r="G44" s="1144"/>
    </row>
    <row r="45" customHeight="1" spans="1:7">
      <c r="A45" s="1145"/>
      <c r="B45" s="1162" t="s">
        <v>1982</v>
      </c>
      <c r="C45" s="1147" t="s">
        <v>1983</v>
      </c>
      <c r="D45" s="1148"/>
      <c r="E45" s="1149">
        <v>1</v>
      </c>
      <c r="F45" s="1144" t="s">
        <v>1984</v>
      </c>
      <c r="G45" s="1144"/>
    </row>
    <row r="46" customHeight="1" spans="1:7">
      <c r="A46" s="1145"/>
      <c r="B46" s="1146"/>
      <c r="C46" s="1147" t="s">
        <v>1985</v>
      </c>
      <c r="D46" s="1148"/>
      <c r="E46" s="1149">
        <v>1</v>
      </c>
      <c r="F46" s="1144" t="s">
        <v>1986</v>
      </c>
      <c r="G46" s="1144"/>
    </row>
    <row r="47" customHeight="1" spans="1:7">
      <c r="A47" s="1145"/>
      <c r="B47" s="1146"/>
      <c r="C47" s="1147" t="s">
        <v>1987</v>
      </c>
      <c r="D47" s="1148"/>
      <c r="E47" s="1149">
        <v>1</v>
      </c>
      <c r="F47" s="1144" t="s">
        <v>1988</v>
      </c>
      <c r="G47" s="1144"/>
    </row>
    <row r="48" customHeight="1" spans="1:7">
      <c r="A48" s="1145"/>
      <c r="B48" s="1146"/>
      <c r="C48" s="1147" t="s">
        <v>1989</v>
      </c>
      <c r="D48" s="1148"/>
      <c r="E48" s="1149">
        <v>1</v>
      </c>
      <c r="F48" s="1144" t="s">
        <v>1990</v>
      </c>
      <c r="G48" s="1144"/>
    </row>
    <row r="49" customHeight="1" spans="1:7">
      <c r="A49" s="1145"/>
      <c r="B49" s="1146"/>
      <c r="C49" s="1147" t="s">
        <v>1991</v>
      </c>
      <c r="D49" s="1148"/>
      <c r="E49" s="1149">
        <v>1</v>
      </c>
      <c r="F49" s="1144" t="s">
        <v>1992</v>
      </c>
      <c r="G49" s="1144"/>
    </row>
    <row r="50" customHeight="1" spans="1:7">
      <c r="A50" s="1145"/>
      <c r="B50" s="1146"/>
      <c r="C50" s="1147" t="s">
        <v>1993</v>
      </c>
      <c r="D50" s="1148"/>
      <c r="E50" s="1149">
        <v>1</v>
      </c>
      <c r="F50" s="1144" t="s">
        <v>1994</v>
      </c>
      <c r="G50" s="1144"/>
    </row>
    <row r="51" customHeight="1" spans="1:7">
      <c r="A51" s="1150"/>
      <c r="B51" s="1151"/>
      <c r="C51" s="1152" t="s">
        <v>1995</v>
      </c>
      <c r="D51" s="1153"/>
      <c r="E51" s="1154">
        <v>1</v>
      </c>
      <c r="F51" s="1144" t="s">
        <v>1996</v>
      </c>
      <c r="G51" s="1144"/>
    </row>
    <row r="52" customHeight="1" spans="1:7">
      <c r="A52" s="1166"/>
      <c r="B52" s="1166"/>
      <c r="C52" s="1166"/>
      <c r="D52" s="1166"/>
      <c r="E52" s="1166"/>
      <c r="F52" s="1166"/>
      <c r="G52" s="1166"/>
    </row>
    <row r="54" customHeight="1" spans="1:7">
      <c r="A54" s="1167"/>
      <c r="B54" s="1131" t="s">
        <v>1997</v>
      </c>
      <c r="C54" s="1131" t="s">
        <v>1997</v>
      </c>
      <c r="D54" s="1131" t="s">
        <v>1997</v>
      </c>
      <c r="E54" s="1133" t="s">
        <v>1997</v>
      </c>
      <c r="F54" s="1133" t="s">
        <v>1998</v>
      </c>
      <c r="G54" s="1133" t="s">
        <v>1997</v>
      </c>
    </row>
    <row r="55" customHeight="1" spans="1:7">
      <c r="A55" s="1168"/>
      <c r="B55" s="1133" t="s">
        <v>675</v>
      </c>
      <c r="C55" s="1133" t="s">
        <v>675</v>
      </c>
      <c r="D55" s="1133" t="s">
        <v>675</v>
      </c>
      <c r="E55" s="1131" t="s">
        <v>573</v>
      </c>
      <c r="F55" s="1131" t="s">
        <v>426</v>
      </c>
      <c r="G55" s="1131" t="s">
        <v>1623</v>
      </c>
    </row>
    <row r="56" customHeight="1" spans="1:7">
      <c r="A56" s="1169"/>
      <c r="B56" s="1131">
        <v>1</v>
      </c>
      <c r="C56" s="1131">
        <v>2</v>
      </c>
      <c r="D56" s="1131">
        <v>3</v>
      </c>
      <c r="E56" s="1170" t="s">
        <v>1999</v>
      </c>
      <c r="F56" s="1170" t="s">
        <v>1999</v>
      </c>
      <c r="G56" s="1170" t="s">
        <v>1999</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2000</v>
      </c>
      <c r="E70" s="1181"/>
      <c r="F70" s="1181"/>
    </row>
    <row r="71" customHeight="1" spans="1:6">
      <c r="A71" s="1165" t="s">
        <v>2001</v>
      </c>
      <c r="B71" s="1165" t="s">
        <v>2002</v>
      </c>
      <c r="C71" s="1165" t="s">
        <v>2003</v>
      </c>
      <c r="D71" s="1165" t="s">
        <v>2004</v>
      </c>
      <c r="E71" s="1165" t="s">
        <v>2005</v>
      </c>
      <c r="F71" s="1165" t="s">
        <v>2006</v>
      </c>
    </row>
    <row r="72" ht="14" spans="1:6">
      <c r="A72" s="1165"/>
      <c r="B72" s="1165"/>
      <c r="C72" s="1165" t="s">
        <v>1744</v>
      </c>
      <c r="D72" s="1165"/>
      <c r="E72" s="1165" t="s">
        <v>124</v>
      </c>
      <c r="F72" s="1165" t="s">
        <v>124</v>
      </c>
    </row>
    <row r="73" ht="14" spans="1:6">
      <c r="A73" s="1165">
        <v>1</v>
      </c>
      <c r="B73" s="1162" t="s">
        <v>2007</v>
      </c>
      <c r="C73" s="1131" t="s">
        <v>2008</v>
      </c>
      <c r="D73" s="1131" t="s">
        <v>2009</v>
      </c>
      <c r="E73" s="1165">
        <v>0.2</v>
      </c>
      <c r="F73" s="1165">
        <v>25</v>
      </c>
    </row>
    <row r="74" ht="26" spans="1:6">
      <c r="A74" s="1165">
        <v>2</v>
      </c>
      <c r="B74" s="1146"/>
      <c r="C74" s="1131" t="s">
        <v>2010</v>
      </c>
      <c r="D74" s="1131" t="s">
        <v>2011</v>
      </c>
      <c r="E74" s="1165">
        <v>0.2</v>
      </c>
      <c r="F74" s="1165">
        <v>25</v>
      </c>
    </row>
    <row r="75" ht="26" spans="1:6">
      <c r="A75" s="1165">
        <v>3</v>
      </c>
      <c r="B75" s="1146"/>
      <c r="C75" s="1131" t="s">
        <v>2012</v>
      </c>
      <c r="D75" s="1131" t="s">
        <v>2013</v>
      </c>
      <c r="E75" s="1165">
        <v>0.2</v>
      </c>
      <c r="F75" s="1165">
        <v>25</v>
      </c>
    </row>
    <row r="76" ht="14" spans="1:6">
      <c r="A76" s="1165">
        <v>4</v>
      </c>
      <c r="B76" s="1146"/>
      <c r="C76" s="1131" t="s">
        <v>2014</v>
      </c>
      <c r="D76" s="1131" t="s">
        <v>2015</v>
      </c>
      <c r="E76" s="1165">
        <v>0.15</v>
      </c>
      <c r="F76" s="1165">
        <v>20</v>
      </c>
    </row>
    <row r="77" ht="26" spans="1:6">
      <c r="A77" s="1165">
        <v>5</v>
      </c>
      <c r="B77" s="1146"/>
      <c r="C77" s="1131" t="s">
        <v>2016</v>
      </c>
      <c r="D77" s="1131" t="s">
        <v>2017</v>
      </c>
      <c r="E77" s="1165">
        <v>0.15</v>
      </c>
      <c r="F77" s="1165">
        <v>20</v>
      </c>
    </row>
    <row r="78" ht="26" spans="1:6">
      <c r="A78" s="1165">
        <v>6</v>
      </c>
      <c r="B78" s="1146"/>
      <c r="C78" s="1131" t="s">
        <v>2018</v>
      </c>
      <c r="D78" s="1131" t="s">
        <v>2019</v>
      </c>
      <c r="E78" s="1165">
        <v>0.15</v>
      </c>
      <c r="F78" s="1165">
        <v>20</v>
      </c>
    </row>
    <row r="79" ht="26" spans="1:6">
      <c r="A79" s="1165">
        <v>7</v>
      </c>
      <c r="B79" s="1146"/>
      <c r="C79" s="1131" t="s">
        <v>2020</v>
      </c>
      <c r="D79" s="1131" t="s">
        <v>2021</v>
      </c>
      <c r="E79" s="1165">
        <v>0.15</v>
      </c>
      <c r="F79" s="1165">
        <v>20</v>
      </c>
    </row>
    <row r="80" ht="26" spans="1:6">
      <c r="A80" s="1165">
        <v>8</v>
      </c>
      <c r="B80" s="1146"/>
      <c r="C80" s="1131" t="s">
        <v>2022</v>
      </c>
      <c r="D80" s="1131" t="s">
        <v>2023</v>
      </c>
      <c r="E80" s="1165">
        <v>0.1</v>
      </c>
      <c r="F80" s="1165">
        <v>15</v>
      </c>
    </row>
    <row r="81" ht="26" spans="1:6">
      <c r="A81" s="1165">
        <v>9</v>
      </c>
      <c r="B81" s="1146"/>
      <c r="C81" s="1131" t="s">
        <v>2024</v>
      </c>
      <c r="D81" s="1131" t="s">
        <v>2025</v>
      </c>
      <c r="E81" s="1165">
        <v>0.1</v>
      </c>
      <c r="F81" s="1165">
        <v>15</v>
      </c>
    </row>
    <row r="82" ht="26" spans="1:6">
      <c r="A82" s="1165">
        <v>10</v>
      </c>
      <c r="B82" s="1146"/>
      <c r="C82" s="1131" t="s">
        <v>2026</v>
      </c>
      <c r="D82" s="1131" t="s">
        <v>2027</v>
      </c>
      <c r="E82" s="1165">
        <v>0.1</v>
      </c>
      <c r="F82" s="1165">
        <v>15</v>
      </c>
    </row>
    <row r="83" ht="26" spans="1:6">
      <c r="A83" s="1165">
        <v>11</v>
      </c>
      <c r="B83" s="1146"/>
      <c r="C83" s="1131" t="s">
        <v>2028</v>
      </c>
      <c r="D83" s="1131" t="s">
        <v>2029</v>
      </c>
      <c r="E83" s="1165">
        <v>0.1</v>
      </c>
      <c r="F83" s="1165">
        <v>15</v>
      </c>
    </row>
    <row r="84" ht="26" spans="1:6">
      <c r="A84" s="1165">
        <v>12</v>
      </c>
      <c r="B84" s="1146"/>
      <c r="C84" s="1131" t="s">
        <v>2030</v>
      </c>
      <c r="D84" s="1131" t="s">
        <v>2031</v>
      </c>
      <c r="E84" s="1165">
        <v>0.1</v>
      </c>
      <c r="F84" s="1165">
        <v>15</v>
      </c>
    </row>
    <row r="85" ht="14" spans="1:6">
      <c r="A85" s="1165">
        <v>13</v>
      </c>
      <c r="B85" s="1146"/>
      <c r="C85" s="1131" t="s">
        <v>2032</v>
      </c>
      <c r="D85" s="1131" t="s">
        <v>2033</v>
      </c>
      <c r="E85" s="1165">
        <v>0.1</v>
      </c>
      <c r="F85" s="1165">
        <v>15</v>
      </c>
    </row>
    <row r="86" ht="14" spans="1:6">
      <c r="A86" s="1165">
        <v>14</v>
      </c>
      <c r="B86" s="1146"/>
      <c r="C86" s="1131" t="s">
        <v>2034</v>
      </c>
      <c r="D86" s="1131" t="s">
        <v>2035</v>
      </c>
      <c r="E86" s="1165">
        <v>0.1</v>
      </c>
      <c r="F86" s="1165">
        <v>15</v>
      </c>
    </row>
    <row r="87" ht="14" spans="1:6">
      <c r="A87" s="1165">
        <v>15</v>
      </c>
      <c r="B87" s="1146"/>
      <c r="C87" s="1131" t="s">
        <v>2036</v>
      </c>
      <c r="D87" s="1131" t="s">
        <v>2037</v>
      </c>
      <c r="E87" s="1165">
        <v>0.1</v>
      </c>
      <c r="F87" s="1165">
        <v>15</v>
      </c>
    </row>
    <row r="88" ht="26" spans="1:6">
      <c r="A88" s="1165">
        <v>16</v>
      </c>
      <c r="B88" s="1146"/>
      <c r="C88" s="1131" t="s">
        <v>2038</v>
      </c>
      <c r="D88" s="1131" t="s">
        <v>2039</v>
      </c>
      <c r="E88" s="1165">
        <v>0.1</v>
      </c>
      <c r="F88" s="1165">
        <v>15</v>
      </c>
    </row>
    <row r="89" ht="26" spans="1:6">
      <c r="A89" s="1165">
        <v>17</v>
      </c>
      <c r="B89" s="1164"/>
      <c r="C89" s="1131" t="s">
        <v>2040</v>
      </c>
      <c r="D89" s="1131" t="s">
        <v>2041</v>
      </c>
      <c r="E89" s="1165">
        <v>0.1</v>
      </c>
      <c r="F89" s="1165">
        <v>15</v>
      </c>
    </row>
    <row r="90" ht="14" spans="1:6">
      <c r="A90" s="1165">
        <v>18</v>
      </c>
      <c r="B90" s="1162" t="s">
        <v>2042</v>
      </c>
      <c r="C90" s="1131" t="s">
        <v>2043</v>
      </c>
      <c r="D90" s="1131" t="s">
        <v>2044</v>
      </c>
      <c r="E90" s="1165">
        <v>0.2</v>
      </c>
      <c r="F90" s="1165">
        <v>25</v>
      </c>
    </row>
    <row r="91" ht="26" spans="1:6">
      <c r="A91" s="1165">
        <v>19</v>
      </c>
      <c r="B91" s="1146"/>
      <c r="C91" s="1131" t="s">
        <v>2045</v>
      </c>
      <c r="D91" s="1131" t="s">
        <v>2046</v>
      </c>
      <c r="E91" s="1165">
        <v>0.2</v>
      </c>
      <c r="F91" s="1165">
        <v>25</v>
      </c>
    </row>
    <row r="92" ht="14" spans="1:6">
      <c r="A92" s="1165">
        <v>20</v>
      </c>
      <c r="B92" s="1146"/>
      <c r="C92" s="1131" t="s">
        <v>2047</v>
      </c>
      <c r="D92" s="1131" t="s">
        <v>2048</v>
      </c>
      <c r="E92" s="1165">
        <v>0.15</v>
      </c>
      <c r="F92" s="1165">
        <v>20</v>
      </c>
    </row>
    <row r="93" ht="26" spans="1:6">
      <c r="A93" s="1165">
        <v>21</v>
      </c>
      <c r="B93" s="1146"/>
      <c r="C93" s="1131" t="s">
        <v>2049</v>
      </c>
      <c r="D93" s="1131" t="s">
        <v>2050</v>
      </c>
      <c r="E93" s="1165">
        <v>0.15</v>
      </c>
      <c r="F93" s="1165">
        <v>20</v>
      </c>
    </row>
    <row r="94" ht="26" spans="1:6">
      <c r="A94" s="1165">
        <v>22</v>
      </c>
      <c r="B94" s="1146"/>
      <c r="C94" s="1131" t="s">
        <v>2051</v>
      </c>
      <c r="D94" s="1131" t="s">
        <v>2052</v>
      </c>
      <c r="E94" s="1165">
        <v>0.15</v>
      </c>
      <c r="F94" s="1165">
        <v>20</v>
      </c>
    </row>
    <row r="95" ht="39" spans="1:6">
      <c r="A95" s="1165">
        <v>23</v>
      </c>
      <c r="B95" s="1146"/>
      <c r="C95" s="1131" t="s">
        <v>2053</v>
      </c>
      <c r="D95" s="1131" t="s">
        <v>2054</v>
      </c>
      <c r="E95" s="1165">
        <v>0.15</v>
      </c>
      <c r="F95" s="1165">
        <v>20</v>
      </c>
    </row>
    <row r="96" ht="14" spans="1:6">
      <c r="A96" s="1165">
        <v>24</v>
      </c>
      <c r="B96" s="1146"/>
      <c r="C96" s="1131" t="s">
        <v>2055</v>
      </c>
      <c r="D96" s="1131" t="s">
        <v>2056</v>
      </c>
      <c r="E96" s="1165">
        <v>0.1</v>
      </c>
      <c r="F96" s="1165">
        <v>15</v>
      </c>
    </row>
    <row r="97" ht="26" spans="1:6">
      <c r="A97" s="1165">
        <v>25</v>
      </c>
      <c r="B97" s="1146"/>
      <c r="C97" s="1131" t="s">
        <v>2057</v>
      </c>
      <c r="D97" s="1131" t="s">
        <v>2058</v>
      </c>
      <c r="E97" s="1165">
        <v>0.1</v>
      </c>
      <c r="F97" s="1165">
        <v>15</v>
      </c>
    </row>
    <row r="98" ht="26" spans="1:6">
      <c r="A98" s="1165">
        <v>26</v>
      </c>
      <c r="B98" s="1146"/>
      <c r="C98" s="1131" t="s">
        <v>2059</v>
      </c>
      <c r="D98" s="1131" t="s">
        <v>2060</v>
      </c>
      <c r="E98" s="1165">
        <v>0.1</v>
      </c>
      <c r="F98" s="1165">
        <v>15</v>
      </c>
    </row>
    <row r="99" ht="26" spans="1:6">
      <c r="A99" s="1165">
        <v>27</v>
      </c>
      <c r="B99" s="1146"/>
      <c r="C99" s="1131" t="s">
        <v>2061</v>
      </c>
      <c r="D99" s="1131" t="s">
        <v>2062</v>
      </c>
      <c r="E99" s="1165">
        <v>0.1</v>
      </c>
      <c r="F99" s="1165">
        <v>15</v>
      </c>
    </row>
    <row r="100" ht="26" spans="1:6">
      <c r="A100" s="1165">
        <v>28</v>
      </c>
      <c r="B100" s="1146"/>
      <c r="C100" s="1131" t="s">
        <v>2063</v>
      </c>
      <c r="D100" s="1131" t="s">
        <v>2064</v>
      </c>
      <c r="E100" s="1165">
        <v>0.1</v>
      </c>
      <c r="F100" s="1165">
        <v>15</v>
      </c>
    </row>
    <row r="101" ht="26" spans="1:6">
      <c r="A101" s="1165">
        <v>29</v>
      </c>
      <c r="B101" s="1146"/>
      <c r="C101" s="1131" t="s">
        <v>2065</v>
      </c>
      <c r="D101" s="1131" t="s">
        <v>2066</v>
      </c>
      <c r="E101" s="1165">
        <v>0.1</v>
      </c>
      <c r="F101" s="1165">
        <v>15</v>
      </c>
    </row>
    <row r="102" ht="26" spans="1:6">
      <c r="A102" s="1165">
        <v>30</v>
      </c>
      <c r="B102" s="1146"/>
      <c r="C102" s="1131" t="s">
        <v>2067</v>
      </c>
      <c r="D102" s="1131" t="s">
        <v>2068</v>
      </c>
      <c r="E102" s="1165">
        <v>0.1</v>
      </c>
      <c r="F102" s="1165">
        <v>15</v>
      </c>
    </row>
    <row r="103" ht="26" spans="1:6">
      <c r="A103" s="1165">
        <v>31</v>
      </c>
      <c r="B103" s="1146"/>
      <c r="C103" s="1131" t="s">
        <v>2069</v>
      </c>
      <c r="D103" s="1131" t="s">
        <v>2070</v>
      </c>
      <c r="E103" s="1165">
        <v>0.1</v>
      </c>
      <c r="F103" s="1165">
        <v>15</v>
      </c>
    </row>
    <row r="104" ht="26" spans="1:6">
      <c r="A104" s="1165">
        <v>32</v>
      </c>
      <c r="B104" s="1146"/>
      <c r="C104" s="1131" t="s">
        <v>2071</v>
      </c>
      <c r="D104" s="1131" t="s">
        <v>2072</v>
      </c>
      <c r="E104" s="1165">
        <v>0.1</v>
      </c>
      <c r="F104" s="1165">
        <v>15</v>
      </c>
    </row>
    <row r="105" ht="26" spans="1:6">
      <c r="A105" s="1165">
        <v>33</v>
      </c>
      <c r="B105" s="1146"/>
      <c r="C105" s="1131" t="s">
        <v>2073</v>
      </c>
      <c r="D105" s="1131" t="s">
        <v>2074</v>
      </c>
      <c r="E105" s="1165">
        <v>0.1</v>
      </c>
      <c r="F105" s="1165">
        <v>15</v>
      </c>
    </row>
    <row r="106" ht="26" spans="1:6">
      <c r="A106" s="1165">
        <v>34</v>
      </c>
      <c r="B106" s="1164"/>
      <c r="C106" s="1131" t="s">
        <v>2075</v>
      </c>
      <c r="D106" s="1131" t="s">
        <v>2076</v>
      </c>
      <c r="E106" s="1165">
        <v>0.1</v>
      </c>
      <c r="F106" s="1165">
        <v>15</v>
      </c>
    </row>
    <row r="107" ht="26" spans="1:6">
      <c r="A107" s="1165">
        <v>35</v>
      </c>
      <c r="B107" s="1162" t="s">
        <v>2077</v>
      </c>
      <c r="C107" s="1165" t="s">
        <v>2078</v>
      </c>
      <c r="D107" s="1131" t="s">
        <v>2079</v>
      </c>
      <c r="E107" s="1165">
        <v>0.15</v>
      </c>
      <c r="F107" s="1165">
        <v>20</v>
      </c>
    </row>
    <row r="108" ht="26" spans="1:6">
      <c r="A108" s="1165">
        <v>36</v>
      </c>
      <c r="B108" s="1146"/>
      <c r="C108" s="1165" t="s">
        <v>2080</v>
      </c>
      <c r="D108" s="1131" t="s">
        <v>2081</v>
      </c>
      <c r="E108" s="1165">
        <v>0.15</v>
      </c>
      <c r="F108" s="1165">
        <v>20</v>
      </c>
    </row>
    <row r="109" ht="26" spans="1:6">
      <c r="A109" s="1165">
        <v>37</v>
      </c>
      <c r="B109" s="1146"/>
      <c r="C109" s="1165" t="s">
        <v>2082</v>
      </c>
      <c r="D109" s="1131" t="s">
        <v>2083</v>
      </c>
      <c r="E109" s="1165">
        <v>0.15</v>
      </c>
      <c r="F109" s="1165">
        <v>20</v>
      </c>
    </row>
    <row r="110" ht="14" spans="1:6">
      <c r="A110" s="1165">
        <v>38</v>
      </c>
      <c r="B110" s="1146"/>
      <c r="C110" s="1165" t="s">
        <v>2084</v>
      </c>
      <c r="D110" s="1131" t="s">
        <v>2085</v>
      </c>
      <c r="E110" s="1165">
        <v>0.1</v>
      </c>
      <c r="F110" s="1165">
        <v>15</v>
      </c>
    </row>
    <row r="111" ht="26" spans="1:6">
      <c r="A111" s="1165">
        <v>39</v>
      </c>
      <c r="B111" s="1146"/>
      <c r="C111" s="1165" t="s">
        <v>2086</v>
      </c>
      <c r="D111" s="1131" t="s">
        <v>2087</v>
      </c>
      <c r="E111" s="1165">
        <v>0.1</v>
      </c>
      <c r="F111" s="1165">
        <v>15</v>
      </c>
    </row>
    <row r="112" ht="26" spans="1:6">
      <c r="A112" s="1165">
        <v>40</v>
      </c>
      <c r="B112" s="1164"/>
      <c r="C112" s="1165" t="s">
        <v>2088</v>
      </c>
      <c r="D112" s="1131" t="s">
        <v>2089</v>
      </c>
      <c r="E112" s="1165">
        <v>0.1</v>
      </c>
      <c r="F112" s="1165">
        <v>15</v>
      </c>
    </row>
    <row r="113" ht="26" spans="1:6">
      <c r="A113" s="1165">
        <v>41</v>
      </c>
      <c r="B113" s="1165" t="s">
        <v>2090</v>
      </c>
      <c r="C113" s="1165" t="s">
        <v>2091</v>
      </c>
      <c r="D113" s="1131" t="s">
        <v>2092</v>
      </c>
      <c r="E113" s="1165">
        <v>0.1</v>
      </c>
      <c r="F113" s="1165">
        <v>15</v>
      </c>
    </row>
    <row r="114" ht="14" spans="1:6">
      <c r="A114" s="1165">
        <v>42</v>
      </c>
      <c r="B114" s="1165"/>
      <c r="C114" s="1165" t="s">
        <v>2093</v>
      </c>
      <c r="D114" s="1131" t="s">
        <v>2094</v>
      </c>
      <c r="E114" s="1165">
        <v>0.1</v>
      </c>
      <c r="F114" s="1165">
        <v>15</v>
      </c>
    </row>
    <row r="115" ht="26" spans="1:6">
      <c r="A115" s="1165">
        <v>43</v>
      </c>
      <c r="B115" s="1165"/>
      <c r="C115" s="1165" t="s">
        <v>2095</v>
      </c>
      <c r="D115" s="1131" t="s">
        <v>2096</v>
      </c>
      <c r="E115" s="1165">
        <v>0.1</v>
      </c>
      <c r="F115" s="1165">
        <v>15</v>
      </c>
    </row>
    <row r="116" ht="26" spans="1:6">
      <c r="A116" s="1165">
        <v>44</v>
      </c>
      <c r="B116" s="1162" t="s">
        <v>2097</v>
      </c>
      <c r="C116" s="1165" t="s">
        <v>2098</v>
      </c>
      <c r="D116" s="1131" t="s">
        <v>2099</v>
      </c>
      <c r="E116" s="1165">
        <v>0.1</v>
      </c>
      <c r="F116" s="1165">
        <v>15</v>
      </c>
    </row>
    <row r="117" ht="26" spans="1:6">
      <c r="A117" s="1165">
        <v>45</v>
      </c>
      <c r="B117" s="1164"/>
      <c r="C117" s="1131" t="s">
        <v>2100</v>
      </c>
      <c r="D117" s="1131" t="s">
        <v>2101</v>
      </c>
      <c r="E117" s="1165">
        <v>0.1</v>
      </c>
      <c r="F117" s="1165">
        <v>15</v>
      </c>
    </row>
    <row r="118" ht="26" spans="1:6">
      <c r="A118" s="1165">
        <v>46</v>
      </c>
      <c r="B118" s="1162" t="s">
        <v>2102</v>
      </c>
      <c r="C118" s="1165" t="s">
        <v>2103</v>
      </c>
      <c r="D118" s="1131" t="s">
        <v>2104</v>
      </c>
      <c r="E118" s="1165">
        <v>0.1</v>
      </c>
      <c r="F118" s="1165">
        <v>15</v>
      </c>
    </row>
    <row r="119" ht="26" spans="1:6">
      <c r="A119" s="1165">
        <v>47</v>
      </c>
      <c r="B119" s="1164"/>
      <c r="C119" s="1165" t="s">
        <v>2105</v>
      </c>
      <c r="D119" s="1131" t="s">
        <v>2106</v>
      </c>
      <c r="E119" s="1165">
        <v>0.1</v>
      </c>
      <c r="F119" s="1165">
        <v>15</v>
      </c>
    </row>
    <row r="120" ht="26" spans="1:6">
      <c r="A120" s="1165">
        <v>48</v>
      </c>
      <c r="B120" s="1162" t="s">
        <v>2107</v>
      </c>
      <c r="C120" s="1165" t="s">
        <v>2108</v>
      </c>
      <c r="D120" s="1131" t="s">
        <v>2109</v>
      </c>
      <c r="E120" s="1165">
        <v>0.1</v>
      </c>
      <c r="F120" s="1165">
        <v>15</v>
      </c>
    </row>
    <row r="121" ht="14" spans="1:6">
      <c r="A121" s="1165">
        <v>49</v>
      </c>
      <c r="B121" s="1164"/>
      <c r="C121" s="1165" t="s">
        <v>2110</v>
      </c>
      <c r="D121" s="1131" t="s">
        <v>2111</v>
      </c>
      <c r="E121" s="1165">
        <v>0.1</v>
      </c>
      <c r="F121" s="1165">
        <v>15</v>
      </c>
    </row>
    <row r="122" ht="26" spans="1:6">
      <c r="A122" s="1165">
        <v>50</v>
      </c>
      <c r="B122" s="1165" t="s">
        <v>2112</v>
      </c>
      <c r="C122" s="1165" t="s">
        <v>2113</v>
      </c>
      <c r="D122" s="1131" t="s">
        <v>2114</v>
      </c>
      <c r="E122" s="1165">
        <v>0.1</v>
      </c>
      <c r="F122" s="1165">
        <v>15</v>
      </c>
    </row>
    <row r="123" ht="26" spans="1:6">
      <c r="A123" s="1165">
        <v>51</v>
      </c>
      <c r="B123" s="1165"/>
      <c r="C123" s="1165" t="s">
        <v>2115</v>
      </c>
      <c r="D123" s="1131" t="s">
        <v>2116</v>
      </c>
      <c r="E123" s="1165">
        <v>0.1</v>
      </c>
      <c r="F123" s="1165">
        <v>15</v>
      </c>
    </row>
    <row r="124" ht="26" spans="1:6">
      <c r="A124" s="1165">
        <v>52</v>
      </c>
      <c r="B124" s="1165" t="s">
        <v>2117</v>
      </c>
      <c r="C124" s="1165" t="s">
        <v>2118</v>
      </c>
      <c r="D124" s="1131" t="s">
        <v>2119</v>
      </c>
      <c r="E124" s="1165">
        <v>0.1</v>
      </c>
      <c r="F124" s="1165">
        <v>15</v>
      </c>
    </row>
    <row r="125" ht="26" spans="1:6">
      <c r="A125" s="1165">
        <v>53</v>
      </c>
      <c r="B125" s="1165"/>
      <c r="C125" s="1165" t="s">
        <v>2120</v>
      </c>
      <c r="D125" s="1131" t="s">
        <v>2121</v>
      </c>
      <c r="E125" s="1165">
        <v>0.1</v>
      </c>
      <c r="F125" s="1165">
        <v>15</v>
      </c>
    </row>
    <row r="126" ht="26" spans="1:6">
      <c r="A126" s="1165">
        <v>54</v>
      </c>
      <c r="B126" s="1165" t="s">
        <v>2122</v>
      </c>
      <c r="C126" s="1165" t="s">
        <v>2123</v>
      </c>
      <c r="D126" s="1131" t="s">
        <v>2124</v>
      </c>
      <c r="E126" s="1165">
        <v>0.1</v>
      </c>
      <c r="F126" s="1165">
        <v>15</v>
      </c>
    </row>
    <row r="127" ht="14" spans="1:6">
      <c r="A127" s="1165">
        <v>55</v>
      </c>
      <c r="B127" s="1165" t="s">
        <v>2125</v>
      </c>
      <c r="C127" s="1165" t="s">
        <v>2126</v>
      </c>
      <c r="D127" s="1131" t="s">
        <v>2127</v>
      </c>
      <c r="E127" s="1165">
        <v>0.1</v>
      </c>
      <c r="F127" s="1165">
        <v>15</v>
      </c>
    </row>
    <row r="128" ht="14" spans="1:6">
      <c r="A128" s="1165">
        <v>56</v>
      </c>
      <c r="B128" s="1165"/>
      <c r="C128" s="1165" t="s">
        <v>2128</v>
      </c>
      <c r="D128" s="1131" t="s">
        <v>2129</v>
      </c>
      <c r="E128" s="1165">
        <v>0.1</v>
      </c>
      <c r="F128" s="1165">
        <v>15</v>
      </c>
    </row>
    <row r="129" ht="26" spans="1:6">
      <c r="A129" s="1165">
        <v>57</v>
      </c>
      <c r="B129" s="1165"/>
      <c r="C129" s="1165" t="s">
        <v>2130</v>
      </c>
      <c r="D129" s="1131" t="s">
        <v>2131</v>
      </c>
      <c r="E129" s="1165">
        <v>0.1</v>
      </c>
      <c r="F129" s="1165">
        <v>15</v>
      </c>
    </row>
    <row r="130" ht="26" spans="1:6">
      <c r="A130" s="1165">
        <v>58</v>
      </c>
      <c r="B130" s="1165" t="s">
        <v>2132</v>
      </c>
      <c r="C130" s="1165" t="s">
        <v>2133</v>
      </c>
      <c r="D130" s="1131" t="s">
        <v>2134</v>
      </c>
      <c r="E130" s="1165">
        <v>0.1</v>
      </c>
      <c r="F130" s="1165">
        <v>15</v>
      </c>
    </row>
    <row r="131" ht="26" spans="1:6">
      <c r="A131" s="1165">
        <v>59</v>
      </c>
      <c r="B131" s="1165"/>
      <c r="C131" s="1165" t="s">
        <v>2135</v>
      </c>
      <c r="D131" s="1131" t="s">
        <v>2136</v>
      </c>
      <c r="E131" s="1165">
        <v>0.1</v>
      </c>
      <c r="F131" s="1165">
        <v>15</v>
      </c>
    </row>
    <row r="132" ht="26" spans="1:6">
      <c r="A132" s="1165">
        <v>60</v>
      </c>
      <c r="B132" s="1162" t="s">
        <v>2137</v>
      </c>
      <c r="C132" s="1165" t="s">
        <v>2138</v>
      </c>
      <c r="D132" s="1131" t="s">
        <v>2139</v>
      </c>
      <c r="E132" s="1165">
        <v>0.1</v>
      </c>
      <c r="F132" s="1165">
        <v>15</v>
      </c>
    </row>
    <row r="133" ht="26" spans="1:6">
      <c r="A133" s="1165">
        <v>61</v>
      </c>
      <c r="B133" s="1164"/>
      <c r="C133" s="1165" t="s">
        <v>2140</v>
      </c>
      <c r="D133" s="1131" t="s">
        <v>2141</v>
      </c>
      <c r="E133" s="1165">
        <v>0.1</v>
      </c>
      <c r="F133" s="1165">
        <v>15</v>
      </c>
    </row>
    <row r="134" ht="26" spans="1:6">
      <c r="A134" s="1165">
        <v>62</v>
      </c>
      <c r="B134" s="1165" t="s">
        <v>2142</v>
      </c>
      <c r="C134" s="1165" t="s">
        <v>2143</v>
      </c>
      <c r="D134" s="1131" t="s">
        <v>2144</v>
      </c>
      <c r="E134" s="1165">
        <v>0.1</v>
      </c>
      <c r="F134" s="1165">
        <v>15</v>
      </c>
    </row>
    <row r="135" ht="26" spans="1:6">
      <c r="A135" s="1165">
        <v>63</v>
      </c>
      <c r="B135" s="1165" t="s">
        <v>2145</v>
      </c>
      <c r="C135" s="1165" t="s">
        <v>2146</v>
      </c>
      <c r="D135" s="1131" t="s">
        <v>2147</v>
      </c>
      <c r="E135" s="1165">
        <v>0.1</v>
      </c>
      <c r="F135" s="1165">
        <v>15</v>
      </c>
    </row>
    <row r="136" ht="14" spans="1:6">
      <c r="A136" s="1165">
        <v>64</v>
      </c>
      <c r="B136" s="1165"/>
      <c r="C136" s="1165" t="s">
        <v>2148</v>
      </c>
      <c r="D136" s="1131" t="s">
        <v>2149</v>
      </c>
      <c r="E136" s="1165">
        <v>0.1</v>
      </c>
      <c r="F136" s="1165">
        <v>15</v>
      </c>
    </row>
    <row r="137" ht="26" spans="1:6">
      <c r="A137" s="1165">
        <v>65</v>
      </c>
      <c r="B137" s="1165" t="s">
        <v>2150</v>
      </c>
      <c r="C137" s="1165" t="s">
        <v>2151</v>
      </c>
      <c r="D137" s="1131" t="s">
        <v>2152</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2153</v>
      </c>
      <c r="B1" s="1099"/>
      <c r="C1" s="1099"/>
      <c r="D1" s="1099"/>
      <c r="E1" s="1099"/>
      <c r="F1" s="1099"/>
      <c r="G1" s="1099"/>
      <c r="H1" s="1099"/>
      <c r="I1" s="1099"/>
      <c r="J1" s="1099"/>
      <c r="K1" s="1099"/>
      <c r="L1" s="1099"/>
      <c r="M1" s="1099"/>
      <c r="N1" s="1106"/>
    </row>
    <row r="2" spans="1:20">
      <c r="A2" s="1100" t="s">
        <v>2154</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2155</v>
      </c>
      <c r="R2" s="1110" t="s">
        <v>2156</v>
      </c>
      <c r="S2" s="1110" t="s">
        <v>2157</v>
      </c>
      <c r="T2" s="1110" t="s">
        <v>2158</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2159</v>
      </c>
      <c r="B93" s="1099"/>
      <c r="C93" s="1099"/>
      <c r="D93" s="1099"/>
      <c r="E93" s="1099"/>
      <c r="F93" s="1099"/>
      <c r="G93" s="1099"/>
      <c r="H93" s="1099"/>
      <c r="I93" s="1099"/>
      <c r="J93" s="1099"/>
      <c r="K93" s="1099"/>
      <c r="L93" s="1099"/>
      <c r="M93" s="1099"/>
    </row>
    <row r="94" spans="1:20">
      <c r="A94" s="1100" t="s">
        <v>2154</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2155</v>
      </c>
      <c r="R94" s="1110" t="s">
        <v>2156</v>
      </c>
      <c r="S94" s="1110" t="s">
        <v>2157</v>
      </c>
      <c r="T94" s="1110" t="s">
        <v>2158</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2160</v>
      </c>
      <c r="B185" s="1099"/>
      <c r="C185" s="1099"/>
      <c r="D185" s="1099"/>
      <c r="E185" s="1099"/>
      <c r="F185" s="1099"/>
      <c r="G185" s="1099"/>
      <c r="H185" s="1099"/>
      <c r="I185" s="1099"/>
      <c r="J185" s="1099"/>
      <c r="K185" s="1099"/>
      <c r="L185" s="1099"/>
      <c r="M185" s="1099"/>
    </row>
    <row r="186" spans="1:20">
      <c r="A186" s="1100" t="s">
        <v>2154</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2155</v>
      </c>
      <c r="R186" s="1110" t="s">
        <v>2156</v>
      </c>
      <c r="S186" s="1110" t="s">
        <v>2157</v>
      </c>
      <c r="T186" s="1110" t="s">
        <v>2158</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2161</v>
      </c>
      <c r="B277" s="1099"/>
      <c r="C277" s="1099"/>
      <c r="D277" s="1099"/>
      <c r="E277" s="1099"/>
      <c r="F277" s="1099"/>
      <c r="G277" s="1099"/>
      <c r="H277" s="1099"/>
      <c r="I277" s="1099"/>
      <c r="J277" s="1099"/>
      <c r="K277" s="1099"/>
      <c r="L277" s="1099"/>
      <c r="M277" s="1099"/>
    </row>
    <row r="278" spans="1:21">
      <c r="A278" s="1100" t="s">
        <v>2154</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2155</v>
      </c>
      <c r="R278" s="1110" t="s">
        <v>2156</v>
      </c>
      <c r="S278" s="1110" t="s">
        <v>2162</v>
      </c>
      <c r="T278" s="1110" t="s">
        <v>2163</v>
      </c>
      <c r="U278" s="1110" t="s">
        <v>2158</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2164</v>
      </c>
      <c r="B369" s="1114"/>
      <c r="C369" s="1114"/>
      <c r="D369" s="1114"/>
      <c r="E369" s="1114"/>
      <c r="F369" s="1114"/>
      <c r="G369" s="1114"/>
      <c r="H369" s="1114"/>
      <c r="I369" s="1114"/>
      <c r="J369" s="1114"/>
      <c r="K369" s="1114"/>
      <c r="L369" s="1114"/>
      <c r="M369" s="1114"/>
    </row>
    <row r="370" spans="1:20">
      <c r="A370" s="1100" t="s">
        <v>2154</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2155</v>
      </c>
      <c r="R370" s="1110" t="s">
        <v>2156</v>
      </c>
      <c r="S370" s="1110" t="s">
        <v>2157</v>
      </c>
      <c r="T370" s="1110" t="s">
        <v>2158</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2165</v>
      </c>
      <c r="B1" s="1092"/>
      <c r="C1" s="645"/>
      <c r="D1" s="645"/>
      <c r="E1" s="645"/>
      <c r="F1" s="645"/>
      <c r="G1" s="649"/>
    </row>
    <row r="2" s="636" customFormat="1" ht="18" customHeight="1" spans="1:7">
      <c r="A2" s="647" t="s">
        <v>2166</v>
      </c>
      <c r="B2" s="648">
        <f ca="1">C52</f>
        <v>28135</v>
      </c>
      <c r="C2" s="1093" t="s">
        <v>1466</v>
      </c>
      <c r="D2" s="649"/>
      <c r="E2" s="649"/>
      <c r="F2" s="649"/>
      <c r="G2" s="649"/>
    </row>
    <row r="3" s="636" customFormat="1" ht="18" customHeight="1" spans="1:7">
      <c r="A3" s="654" t="s">
        <v>2167</v>
      </c>
      <c r="B3" s="655">
        <f ca="1">ROUND(B2*10000/'数据-汇总表'!E3,0)</f>
        <v>245727</v>
      </c>
      <c r="C3" s="1093" t="s">
        <v>1633</v>
      </c>
      <c r="D3" s="649"/>
      <c r="E3" s="649"/>
      <c r="F3" s="649"/>
      <c r="G3" s="649"/>
    </row>
    <row r="4" s="637" customFormat="1" ht="15.5" spans="1:7">
      <c r="A4" s="656" t="s">
        <v>2168</v>
      </c>
      <c r="B4" s="657"/>
      <c r="C4" s="657"/>
      <c r="D4" s="657"/>
      <c r="E4" s="657"/>
      <c r="F4" s="657"/>
      <c r="G4" s="658"/>
    </row>
    <row r="5" s="638" customFormat="1" ht="13.5" customHeight="1" spans="1:7">
      <c r="A5" s="659" t="s">
        <v>1013</v>
      </c>
      <c r="B5" s="660" t="s">
        <v>2169</v>
      </c>
      <c r="C5" s="661">
        <f>C6+C7+C8</f>
        <v>20610</v>
      </c>
      <c r="D5" s="661" t="s">
        <v>2170</v>
      </c>
      <c r="E5" s="662" t="s">
        <v>2171</v>
      </c>
      <c r="F5" s="662" t="s">
        <v>2172</v>
      </c>
      <c r="G5" s="663"/>
    </row>
    <row r="6" s="638" customFormat="1" ht="13.5" customHeight="1" spans="1:7">
      <c r="A6" s="664" t="s">
        <v>1017</v>
      </c>
      <c r="B6" s="665" t="s">
        <v>2173</v>
      </c>
      <c r="C6" s="666">
        <v>20000</v>
      </c>
      <c r="D6" s="667"/>
      <c r="E6" s="668"/>
      <c r="F6" s="668"/>
      <c r="G6" s="669"/>
    </row>
    <row r="7" s="638" customFormat="1" ht="13.5" customHeight="1" spans="1:7">
      <c r="A7" s="664" t="s">
        <v>1019</v>
      </c>
      <c r="B7" s="665" t="s">
        <v>2174</v>
      </c>
      <c r="C7" s="670">
        <f>ROUND(C6*F7,0)</f>
        <v>610</v>
      </c>
      <c r="D7" s="670"/>
      <c r="E7" s="668"/>
      <c r="F7" s="671">
        <f>'数据-取费表'!B48+'数据-取费表'!B49</f>
        <v>0.0305</v>
      </c>
      <c r="G7" s="669"/>
    </row>
    <row r="8" s="639" customFormat="1" ht="13" spans="1:7">
      <c r="A8" s="664" t="s">
        <v>1021</v>
      </c>
      <c r="B8" s="665" t="s">
        <v>2175</v>
      </c>
      <c r="C8" s="670" t="str">
        <f>IF(G8="已包含在土地购买价格中","0",'数据-取费表'!B29)</f>
        <v>0</v>
      </c>
      <c r="D8" s="672"/>
      <c r="E8" s="670"/>
      <c r="F8" s="671"/>
      <c r="G8" s="1094" t="s">
        <v>2176</v>
      </c>
    </row>
    <row r="9" s="638" customFormat="1" ht="13.5" customHeight="1" spans="1:7">
      <c r="A9" s="674" t="s">
        <v>1024</v>
      </c>
      <c r="B9" s="675" t="s">
        <v>2177</v>
      </c>
      <c r="C9" s="676">
        <f>ROUND(D9*E9/10000,0)</f>
        <v>0</v>
      </c>
      <c r="D9" s="677">
        <f>'数据-汇总表'!E5</f>
        <v>0</v>
      </c>
      <c r="E9" s="676">
        <f>'数据-取费表'!B27</f>
        <v>160</v>
      </c>
      <c r="F9" s="671"/>
      <c r="G9" s="680"/>
    </row>
    <row r="10" s="638" customFormat="1" ht="13.5" customHeight="1" spans="1:7">
      <c r="A10" s="674" t="s">
        <v>1028</v>
      </c>
      <c r="B10" s="675" t="s">
        <v>2178</v>
      </c>
      <c r="C10" s="676">
        <f>ROUND(D10*E10/10000,0)</f>
        <v>23</v>
      </c>
      <c r="D10" s="677">
        <f>'数据-汇总表'!E6</f>
        <v>1144.97</v>
      </c>
      <c r="E10" s="676">
        <f>'数据-取费表'!B28</f>
        <v>200</v>
      </c>
      <c r="F10" s="671"/>
      <c r="G10" s="680"/>
    </row>
    <row r="11" s="638" customFormat="1" ht="13.5" hidden="1" customHeight="1" spans="1:7">
      <c r="A11" s="681" t="s">
        <v>1030</v>
      </c>
      <c r="B11" s="665" t="s">
        <v>2179</v>
      </c>
      <c r="C11" s="661"/>
      <c r="D11" s="668"/>
      <c r="E11" s="668"/>
      <c r="F11" s="668"/>
      <c r="G11" s="669"/>
    </row>
    <row r="12" s="638" customFormat="1" ht="13.5" hidden="1" customHeight="1" spans="1:7">
      <c r="A12" s="681" t="s">
        <v>1032</v>
      </c>
      <c r="B12" s="665" t="s">
        <v>2180</v>
      </c>
      <c r="C12" s="661">
        <v>0</v>
      </c>
      <c r="D12" s="668"/>
      <c r="E12" s="682"/>
      <c r="F12" s="671">
        <v>0.0305</v>
      </c>
      <c r="G12" s="669"/>
    </row>
    <row r="13" s="638" customFormat="1" ht="13.5" hidden="1" customHeight="1" spans="1:7">
      <c r="A13" s="681" t="s">
        <v>1033</v>
      </c>
      <c r="B13" s="665" t="s">
        <v>2181</v>
      </c>
      <c r="C13" s="661"/>
      <c r="D13" s="668"/>
      <c r="E13" s="668"/>
      <c r="F13" s="668"/>
      <c r="G13" s="669"/>
    </row>
    <row r="14" s="638" customFormat="1" ht="13.5" hidden="1" customHeight="1" spans="1:7">
      <c r="A14" s="681" t="s">
        <v>1035</v>
      </c>
      <c r="B14" s="665" t="s">
        <v>2175</v>
      </c>
      <c r="C14" s="661"/>
      <c r="D14" s="668"/>
      <c r="E14" s="668"/>
      <c r="F14" s="668"/>
      <c r="G14" s="669" t="s">
        <v>2182</v>
      </c>
    </row>
    <row r="15" s="638" customFormat="1" ht="13.5" hidden="1" customHeight="1" spans="1:7">
      <c r="A15" s="681" t="s">
        <v>1037</v>
      </c>
      <c r="B15" s="665" t="s">
        <v>2183</v>
      </c>
      <c r="C15" s="670"/>
      <c r="D15" s="668"/>
      <c r="E15" s="668"/>
      <c r="F15" s="668"/>
      <c r="G15" s="669" t="s">
        <v>2184</v>
      </c>
    </row>
    <row r="16" s="638" customFormat="1" ht="13.5" hidden="1" customHeight="1" spans="1:7">
      <c r="A16" s="681" t="s">
        <v>1040</v>
      </c>
      <c r="B16" s="665" t="s">
        <v>2175</v>
      </c>
      <c r="C16" s="670"/>
      <c r="D16" s="668"/>
      <c r="E16" s="668"/>
      <c r="F16" s="668"/>
      <c r="G16" s="669"/>
    </row>
    <row r="17" s="638" customFormat="1" ht="13.5" hidden="1" customHeight="1" spans="1:7">
      <c r="A17" s="681" t="s">
        <v>1041</v>
      </c>
      <c r="B17" s="665" t="s">
        <v>2185</v>
      </c>
      <c r="C17" s="683"/>
      <c r="D17" s="683"/>
      <c r="E17" s="683"/>
      <c r="F17" s="683"/>
      <c r="G17" s="669" t="s">
        <v>2184</v>
      </c>
    </row>
    <row r="18" s="638" customFormat="1" ht="13.5" hidden="1" customHeight="1" spans="1:7">
      <c r="A18" s="681" t="s">
        <v>1043</v>
      </c>
      <c r="B18" s="665" t="s">
        <v>2186</v>
      </c>
      <c r="C18" s="670">
        <v>0</v>
      </c>
      <c r="D18" s="668"/>
      <c r="E18" s="668"/>
      <c r="F18" s="671">
        <v>0.0305</v>
      </c>
      <c r="G18" s="669" t="s">
        <v>2187</v>
      </c>
    </row>
    <row r="19" s="639" customFormat="1" ht="13.5" customHeight="1" spans="1:7">
      <c r="A19" s="1095" t="s">
        <v>1737</v>
      </c>
      <c r="B19" s="660" t="s">
        <v>2188</v>
      </c>
      <c r="C19" s="661">
        <f>IF(G19="已包含在土地取得成本中","0",ROUND(D19*E19/10000,0))</f>
        <v>23</v>
      </c>
      <c r="D19" s="662">
        <f>'数据-汇总表'!E3</f>
        <v>1144.97</v>
      </c>
      <c r="E19" s="661">
        <f>'数据-取费表'!B31</f>
        <v>200</v>
      </c>
      <c r="F19" s="684"/>
      <c r="G19" s="1094" t="s">
        <v>2189</v>
      </c>
    </row>
    <row r="20" s="638" customFormat="1" ht="13.5" customHeight="1" spans="1:7">
      <c r="A20" s="1095" t="s">
        <v>1774</v>
      </c>
      <c r="B20" s="660" t="s">
        <v>2190</v>
      </c>
      <c r="C20" s="505">
        <f>ROUND((C5+C19)*F20,0)</f>
        <v>413</v>
      </c>
      <c r="D20" s="505"/>
      <c r="E20" s="505"/>
      <c r="F20" s="685">
        <f>'数据-取费表'!B37</f>
        <v>0.02</v>
      </c>
      <c r="G20" s="1096" t="s">
        <v>2191</v>
      </c>
    </row>
    <row r="21" s="638" customFormat="1" ht="13.5" customHeight="1" spans="1:7">
      <c r="A21" s="1095" t="s">
        <v>1779</v>
      </c>
      <c r="B21" s="660" t="s">
        <v>2192</v>
      </c>
      <c r="C21" s="687">
        <f>F21</f>
        <v>0.02</v>
      </c>
      <c r="D21" s="688" t="s">
        <v>2193</v>
      </c>
      <c r="E21" s="505"/>
      <c r="F21" s="685">
        <f>'数据-取费表'!B38</f>
        <v>0.02</v>
      </c>
      <c r="G21" s="686" t="s">
        <v>2194</v>
      </c>
    </row>
    <row r="22" s="638" customFormat="1" ht="13.5" customHeight="1" spans="1:7">
      <c r="A22" s="1095" t="s">
        <v>1788</v>
      </c>
      <c r="B22" s="660" t="s">
        <v>2195</v>
      </c>
      <c r="C22" s="689">
        <f ca="1">ROUND(SUM(C23:C25),0)</f>
        <v>1312</v>
      </c>
      <c r="D22" s="687">
        <f ca="1">C26</f>
        <v>0.0006</v>
      </c>
      <c r="E22" s="688" t="s">
        <v>2193</v>
      </c>
      <c r="F22" s="690">
        <f ca="1">'数据-取费表'!B40</f>
        <v>0.031</v>
      </c>
      <c r="G22" s="1096" t="str">
        <f>IF('数据-取费表'!B22&lt;=1,"单利计息","复利计息")</f>
        <v>复利计息</v>
      </c>
    </row>
    <row r="23" s="638" customFormat="1" ht="13.5" customHeight="1" spans="1:7">
      <c r="A23" s="691" t="s">
        <v>1017</v>
      </c>
      <c r="B23" s="665" t="s">
        <v>2196</v>
      </c>
      <c r="C23" s="692">
        <f ca="1">ROUND(IF('数据-取费表'!B22&lt;=1,C5*F22*'数据-取费表'!B23,C5*(POWER((1+F22),'数据-取费表'!B23)-1)),0)</f>
        <v>1298</v>
      </c>
      <c r="D23" s="510"/>
      <c r="E23" s="510"/>
      <c r="F23" s="693"/>
      <c r="G23" s="694" t="s">
        <v>2197</v>
      </c>
    </row>
    <row r="24" s="638" customFormat="1" ht="13.5" customHeight="1" spans="1:7">
      <c r="A24" s="691" t="s">
        <v>1019</v>
      </c>
      <c r="B24" s="665" t="s">
        <v>2198</v>
      </c>
      <c r="C24" s="692">
        <f ca="1">ROUND(IF('数据-取费表'!B22&lt;=1,C19*F22*('数据-取费表'!B19/2+'数据-取费表'!B21),C19*(POWER((1+F22),('数据-取费表'!B19/2+'数据-取费表'!B21))-1)),0)</f>
        <v>1</v>
      </c>
      <c r="D24" s="510"/>
      <c r="E24" s="510"/>
      <c r="F24" s="693"/>
      <c r="G24" s="694" t="s">
        <v>2199</v>
      </c>
    </row>
    <row r="25" s="638" customFormat="1" ht="26" spans="1:7">
      <c r="A25" s="691" t="s">
        <v>1021</v>
      </c>
      <c r="B25" s="665" t="s">
        <v>2200</v>
      </c>
      <c r="C25" s="692">
        <f ca="1">ROUND(IF('数据-取费表'!B22&lt;=1,C20*F22*'数据-取费表'!B23/2,C20*(POWER((1+F22),'数据-取费表'!B23/2)-1)),0)</f>
        <v>13</v>
      </c>
      <c r="D25" s="510"/>
      <c r="E25" s="695"/>
      <c r="F25" s="693"/>
      <c r="G25" s="696" t="s">
        <v>2201</v>
      </c>
    </row>
    <row r="26" s="638" customFormat="1" ht="13" spans="1:7">
      <c r="A26" s="691" t="s">
        <v>1064</v>
      </c>
      <c r="B26" s="665" t="s">
        <v>2202</v>
      </c>
      <c r="C26" s="510">
        <f ca="1">ROUND(IF('数据-取费表'!B22&lt;=1,F21*F22*'数据-取费表'!B23/2,F21*(POWER((1+F22),'数据-取费表'!B23/2)-1)),4)</f>
        <v>0.0006</v>
      </c>
      <c r="D26" s="510"/>
      <c r="E26" s="695"/>
      <c r="F26" s="693"/>
      <c r="G26" s="697"/>
    </row>
    <row r="27" s="638" customFormat="1" ht="26" spans="1:7">
      <c r="A27" s="1095" t="s">
        <v>1797</v>
      </c>
      <c r="B27" s="698" t="s">
        <v>2203</v>
      </c>
      <c r="C27" s="699">
        <f>C28</f>
        <v>3157</v>
      </c>
      <c r="D27" s="687">
        <f>C29</f>
        <v>0.003</v>
      </c>
      <c r="E27" s="688" t="s">
        <v>2193</v>
      </c>
      <c r="F27" s="700">
        <f>'数据-取费表'!Q16</f>
        <v>0.15</v>
      </c>
      <c r="G27" s="701" t="s">
        <v>2204</v>
      </c>
    </row>
    <row r="28" s="638" customFormat="1" ht="13.5" customHeight="1" spans="1:7">
      <c r="A28" s="691" t="s">
        <v>1017</v>
      </c>
      <c r="B28" s="702" t="s">
        <v>2205</v>
      </c>
      <c r="C28" s="703">
        <f>ROUND((C5+C19+C20)*F27*'数据-取费表'!B21/'数据-取费表'!B20,0)</f>
        <v>3157</v>
      </c>
      <c r="D28" s="687"/>
      <c r="E28" s="688"/>
      <c r="F28" s="700"/>
      <c r="G28" s="701"/>
    </row>
    <row r="29" s="638" customFormat="1" ht="13.5" customHeight="1" spans="1:7">
      <c r="A29" s="691" t="s">
        <v>1019</v>
      </c>
      <c r="B29" s="702" t="s">
        <v>2206</v>
      </c>
      <c r="C29" s="510">
        <f>ROUND(C21*F27*'数据-取费表'!B21/'数据-取费表'!B20,4)</f>
        <v>0.003</v>
      </c>
      <c r="D29" s="687"/>
      <c r="E29" s="688"/>
      <c r="F29" s="700"/>
      <c r="G29" s="701"/>
    </row>
    <row r="30" s="638" customFormat="1" ht="13.5" customHeight="1" spans="1:7">
      <c r="A30" s="1095" t="s">
        <v>2207</v>
      </c>
      <c r="B30" s="660" t="s">
        <v>2208</v>
      </c>
      <c r="C30" s="687">
        <f>F30</f>
        <v>0.056</v>
      </c>
      <c r="D30" s="688" t="s">
        <v>2209</v>
      </c>
      <c r="E30" s="695"/>
      <c r="F30" s="690">
        <f>'数据-取费表'!B41</f>
        <v>0.056</v>
      </c>
      <c r="G30" s="686" t="s">
        <v>2210</v>
      </c>
    </row>
    <row r="31" ht="16.5" customHeight="1" spans="1:7">
      <c r="A31" s="704">
        <v>1</v>
      </c>
      <c r="B31" s="660" t="s">
        <v>2211</v>
      </c>
      <c r="C31" s="661">
        <f ca="1">ROUND((C5+C19+C20+C22+C27)/(1-C21-D22-D27-C30/(1+'数据-取费表'!B42)),0)</f>
        <v>27642</v>
      </c>
      <c r="D31" s="705"/>
      <c r="E31" s="661"/>
      <c r="F31" s="706"/>
      <c r="G31" s="686" t="s">
        <v>2212</v>
      </c>
    </row>
    <row r="32" s="637" customFormat="1" ht="15.5" spans="1:7">
      <c r="A32" s="707" t="s">
        <v>2213</v>
      </c>
      <c r="B32" s="708"/>
      <c r="C32" s="708"/>
      <c r="D32" s="708"/>
      <c r="E32" s="708"/>
      <c r="F32" s="708"/>
      <c r="G32" s="709"/>
    </row>
    <row r="33" s="638" customFormat="1" ht="13.5" customHeight="1" spans="1:7">
      <c r="A33" s="659" t="s">
        <v>1013</v>
      </c>
      <c r="B33" s="660" t="s">
        <v>2214</v>
      </c>
      <c r="C33" s="710">
        <f>SUM(C34:C38)</f>
        <v>444</v>
      </c>
      <c r="D33" s="505"/>
      <c r="E33" s="662"/>
      <c r="F33" s="695"/>
      <c r="G33" s="686"/>
    </row>
    <row r="34" s="340" customFormat="1" ht="13.5" customHeight="1" spans="1:7">
      <c r="A34" s="691" t="s">
        <v>1017</v>
      </c>
      <c r="B34" s="665" t="s">
        <v>2215</v>
      </c>
      <c r="C34" s="670">
        <f>IF(F34=100%,'数据-取费表'!M16-SUMIF('数据-取费表'!C:C,"公共配套",'数据-取费表'!M:M),'数据-取费表'!O16-SUMIF('数据-取费表'!C:C,"公共配套",'数据-取费表'!O:O))</f>
        <v>401</v>
      </c>
      <c r="D34" s="667"/>
      <c r="E34" s="670"/>
      <c r="F34" s="711">
        <f>IF('数据-取费表'!B24=0,1,'数据-取费表'!N16)</f>
        <v>1</v>
      </c>
      <c r="G34" s="669" t="s">
        <v>2216</v>
      </c>
    </row>
    <row r="35" ht="13.5" customHeight="1" spans="1:7">
      <c r="A35" s="691" t="s">
        <v>1019</v>
      </c>
      <c r="B35" s="665" t="s">
        <v>2217</v>
      </c>
      <c r="C35" s="670">
        <f>ROUND(C34*F35,0)</f>
        <v>12</v>
      </c>
      <c r="D35" s="670"/>
      <c r="E35" s="670"/>
      <c r="F35" s="712">
        <f>'数据-取费表'!B33</f>
        <v>0.03</v>
      </c>
      <c r="G35" s="669" t="s">
        <v>2218</v>
      </c>
    </row>
    <row r="36" ht="26" spans="1:7">
      <c r="A36" s="691" t="s">
        <v>1021</v>
      </c>
      <c r="B36" s="665" t="s">
        <v>2219</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2220</v>
      </c>
    </row>
    <row r="37" s="340" customFormat="1" ht="13.5" customHeight="1" spans="1:7">
      <c r="A37" s="691" t="s">
        <v>1064</v>
      </c>
      <c r="B37" s="665" t="s">
        <v>2221</v>
      </c>
      <c r="C37" s="703">
        <f>ROUND(E37*D37*F34/10000,0)</f>
        <v>23</v>
      </c>
      <c r="D37" s="667">
        <f>'数据-汇总表'!E3</f>
        <v>1144.97</v>
      </c>
      <c r="E37" s="703">
        <f>'数据-取费表'!B35</f>
        <v>200</v>
      </c>
      <c r="F37" s="712"/>
      <c r="G37" s="714" t="s">
        <v>2222</v>
      </c>
    </row>
    <row r="38" ht="13.5" customHeight="1" spans="1:7">
      <c r="A38" s="691" t="s">
        <v>1086</v>
      </c>
      <c r="B38" s="665" t="s">
        <v>2180</v>
      </c>
      <c r="C38" s="670">
        <f>ROUND(C34*F38,0)</f>
        <v>8</v>
      </c>
      <c r="D38" s="670"/>
      <c r="E38" s="670"/>
      <c r="F38" s="712">
        <f>'数据-取费表'!B36</f>
        <v>0.02</v>
      </c>
      <c r="G38" s="669" t="s">
        <v>2218</v>
      </c>
    </row>
    <row r="39" s="638" customFormat="1" ht="13.5" customHeight="1" spans="1:7">
      <c r="A39" s="1095" t="s">
        <v>1737</v>
      </c>
      <c r="B39" s="660" t="s">
        <v>2190</v>
      </c>
      <c r="C39" s="505">
        <f>ROUND(C33*F20,0)</f>
        <v>9</v>
      </c>
      <c r="D39" s="505"/>
      <c r="E39" s="505"/>
      <c r="F39" s="685"/>
      <c r="G39" s="1096" t="s">
        <v>2223</v>
      </c>
    </row>
    <row r="40" s="638" customFormat="1" ht="13.5" customHeight="1" spans="1:7">
      <c r="A40" s="1095" t="s">
        <v>1774</v>
      </c>
      <c r="B40" s="660" t="s">
        <v>2192</v>
      </c>
      <c r="C40" s="1097">
        <f>F21</f>
        <v>0.02</v>
      </c>
      <c r="D40" s="688" t="s">
        <v>2224</v>
      </c>
      <c r="E40" s="505"/>
      <c r="F40" s="685"/>
      <c r="G40" s="686" t="s">
        <v>2225</v>
      </c>
    </row>
    <row r="41" s="638" customFormat="1" ht="13.5" customHeight="1" spans="1:7">
      <c r="A41" s="1095" t="s">
        <v>1779</v>
      </c>
      <c r="B41" s="660" t="s">
        <v>2195</v>
      </c>
      <c r="C41" s="505">
        <f ca="1">ROUND(SUM(C42:C43),0)</f>
        <v>14</v>
      </c>
      <c r="D41" s="687">
        <f ca="1">C44</f>
        <v>0.0006</v>
      </c>
      <c r="E41" s="688" t="s">
        <v>2224</v>
      </c>
      <c r="F41" s="690"/>
      <c r="G41" s="1096" t="str">
        <f>IF('数据-取费表'!B22&lt;=1,"单利计息","复利计息")</f>
        <v>复利计息</v>
      </c>
    </row>
    <row r="42" ht="13.5" customHeight="1" spans="1:7">
      <c r="A42" s="691" t="s">
        <v>1017</v>
      </c>
      <c r="B42" s="665" t="s">
        <v>2196</v>
      </c>
      <c r="C42" s="510">
        <f ca="1">ROUND(IF('数据-取费表'!B22&lt;=1,C33*F22*'数据-取费表'!B21/2,C33*(POWER((1+F22),'数据-取费表'!B21/2)-1)),0)</f>
        <v>14</v>
      </c>
      <c r="D42" s="510"/>
      <c r="E42" s="510"/>
      <c r="F42" s="693"/>
      <c r="G42" s="715" t="s">
        <v>2226</v>
      </c>
    </row>
    <row r="43" ht="13.5" customHeight="1" spans="1:7">
      <c r="A43" s="691" t="s">
        <v>1019</v>
      </c>
      <c r="B43" s="665" t="s">
        <v>2198</v>
      </c>
      <c r="C43" s="510">
        <f ca="1">ROUND(IF('数据-取费表'!B22&lt;=1,C39*F22*'数据-取费表'!B21/2,C39*(POWER((1+F22),'数据-取费表'!B21/2)-1)),0)</f>
        <v>0</v>
      </c>
      <c r="D43" s="510"/>
      <c r="E43" s="510"/>
      <c r="F43" s="693"/>
      <c r="G43" s="716"/>
    </row>
    <row r="44" ht="13.5" customHeight="1" spans="1:7">
      <c r="A44" s="691" t="s">
        <v>1021</v>
      </c>
      <c r="B44" s="665" t="s">
        <v>2200</v>
      </c>
      <c r="C44" s="510">
        <f ca="1">ROUND(IF('数据-取费表'!B22&lt;=1,C40*F22*'数据-取费表'!B21/2,C40*(POWER((1+F22),'数据-取费表'!B21/2)-1)),4)</f>
        <v>0.0006</v>
      </c>
      <c r="D44" s="510"/>
      <c r="E44" s="510"/>
      <c r="F44" s="693"/>
      <c r="G44" s="717"/>
    </row>
    <row r="45" s="638" customFormat="1" ht="13.5" customHeight="1" spans="1:7">
      <c r="A45" s="1095" t="s">
        <v>1788</v>
      </c>
      <c r="B45" s="698" t="s">
        <v>2203</v>
      </c>
      <c r="C45" s="699">
        <f>C46</f>
        <v>68</v>
      </c>
      <c r="D45" s="687">
        <f>C47</f>
        <v>0.003</v>
      </c>
      <c r="E45" s="688" t="s">
        <v>2224</v>
      </c>
      <c r="F45" s="700"/>
      <c r="G45" s="701" t="s">
        <v>2227</v>
      </c>
    </row>
    <row r="46" s="638" customFormat="1" ht="13.5" customHeight="1" spans="1:7">
      <c r="A46" s="691" t="s">
        <v>1017</v>
      </c>
      <c r="B46" s="702" t="s">
        <v>2228</v>
      </c>
      <c r="C46" s="703">
        <f>ROUND((C33+C39)*F27,0)</f>
        <v>68</v>
      </c>
      <c r="D46" s="718"/>
      <c r="E46" s="688"/>
      <c r="F46" s="700"/>
      <c r="G46" s="701"/>
    </row>
    <row r="47" s="638" customFormat="1" ht="13.5" customHeight="1" spans="1:7">
      <c r="A47" s="691" t="s">
        <v>1019</v>
      </c>
      <c r="B47" s="702" t="s">
        <v>2229</v>
      </c>
      <c r="C47" s="510">
        <f>ROUND(C40*F27,4)</f>
        <v>0.003</v>
      </c>
      <c r="D47" s="718"/>
      <c r="E47" s="688"/>
      <c r="F47" s="700"/>
      <c r="G47" s="701"/>
    </row>
    <row r="48" s="638" customFormat="1" ht="13.5" customHeight="1" spans="1:7">
      <c r="A48" s="1095" t="s">
        <v>1797</v>
      </c>
      <c r="B48" s="660" t="s">
        <v>2208</v>
      </c>
      <c r="C48" s="1097">
        <f>F30</f>
        <v>0.056</v>
      </c>
      <c r="D48" s="688" t="s">
        <v>2230</v>
      </c>
      <c r="E48" s="505"/>
      <c r="F48" s="690"/>
      <c r="G48" s="686" t="s">
        <v>2231</v>
      </c>
    </row>
    <row r="49" ht="16.5" customHeight="1" spans="1:7">
      <c r="A49" s="1095" t="s">
        <v>2207</v>
      </c>
      <c r="B49" s="660" t="s">
        <v>2232</v>
      </c>
      <c r="C49" s="505">
        <f ca="1">ROUND((C33+C39+C41+C45)/(1-C40-D41-D45-C48/(1+'数据-取费表'!B42)),0)</f>
        <v>580</v>
      </c>
      <c r="D49" s="505"/>
      <c r="E49" s="505"/>
      <c r="F49" s="719"/>
      <c r="G49" s="686" t="s">
        <v>2233</v>
      </c>
    </row>
    <row r="50" s="340" customFormat="1" ht="26" spans="1:7">
      <c r="A50" s="1095" t="s">
        <v>2234</v>
      </c>
      <c r="B50" s="660" t="s">
        <v>2235</v>
      </c>
      <c r="C50" s="505"/>
      <c r="D50" s="505"/>
      <c r="E50" s="505"/>
      <c r="F50" s="719">
        <f>IF('数据-取费表'!B24=0,'数据-取费表'!N16,1)</f>
        <v>0.85</v>
      </c>
      <c r="G50" s="701" t="s">
        <v>2236</v>
      </c>
    </row>
    <row r="51" ht="16.5" customHeight="1" spans="1:7">
      <c r="A51" s="1095" t="s">
        <v>2237</v>
      </c>
      <c r="B51" s="660" t="s">
        <v>2238</v>
      </c>
      <c r="C51" s="505">
        <f ca="1">ROUND(C49*F50,0)</f>
        <v>493</v>
      </c>
      <c r="D51" s="505"/>
      <c r="E51" s="505"/>
      <c r="F51" s="719"/>
      <c r="G51" s="686" t="s">
        <v>2239</v>
      </c>
    </row>
    <row r="52" s="637" customFormat="1" ht="16.25" spans="1:7">
      <c r="A52" s="720" t="s">
        <v>2240</v>
      </c>
      <c r="B52" s="721"/>
      <c r="C52" s="722">
        <f ca="1">C31+C51</f>
        <v>28135</v>
      </c>
      <c r="D52" s="721"/>
      <c r="E52" s="721"/>
      <c r="F52" s="721"/>
      <c r="G52" s="723"/>
    </row>
    <row r="55" ht="15.5" spans="2:3">
      <c r="B55" s="630" t="s">
        <v>2241</v>
      </c>
      <c r="C55" s="724"/>
    </row>
    <row r="56" ht="13" spans="2:3">
      <c r="B56" s="622" t="s">
        <v>2242</v>
      </c>
      <c r="C56" s="632">
        <f ca="1">ROUND(C51/C52,3)</f>
        <v>0.018</v>
      </c>
    </row>
    <row r="57" ht="13" spans="2:3">
      <c r="B57" s="622" t="s">
        <v>2243</v>
      </c>
      <c r="C57" s="633">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787</v>
      </c>
      <c r="B1" s="529"/>
      <c r="C1" s="733"/>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318</v>
      </c>
      <c r="D4" s="741" t="s">
        <v>320</v>
      </c>
      <c r="E4" s="742" t="s">
        <v>792</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4</v>
      </c>
      <c r="D14" s="747">
        <v>6</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4</v>
      </c>
      <c r="D17" s="753">
        <f>SUM(D5:D16)</f>
        <v>6</v>
      </c>
      <c r="E17" s="458"/>
      <c r="F17" s="458"/>
      <c r="G17" s="458"/>
      <c r="H17" s="458"/>
      <c r="I17" s="458"/>
      <c r="K17" s="375"/>
      <c r="L17" s="375" t="s">
        <v>811</v>
      </c>
      <c r="M17" s="375" t="s">
        <v>812</v>
      </c>
    </row>
    <row r="18" ht="31.9" customHeight="1" spans="1:13">
      <c r="A18" s="754" t="s">
        <v>813</v>
      </c>
      <c r="B18" s="755"/>
      <c r="C18" s="756">
        <f>ROUND(C17/SUM(C17:D17),2)</f>
        <v>0.4</v>
      </c>
      <c r="D18" s="756">
        <f>1-C18</f>
        <v>0.6</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t="e">
        <f ca="1">SUMIF(INDIRECT("'"&amp;C4&amp;"'"&amp;"!A:A"),结果表车库!B19,INDIRECT("'"&amp;C4&amp;"'"&amp;"!B:B"))</f>
        <v>#DIV/0!</v>
      </c>
      <c r="D19" s="762" t="e">
        <f ca="1">SUMIF(INDIRECT("'"&amp;D4&amp;"'"&amp;"!A:A"),结果表车库!B19,INDIRECT("'"&amp;D4&amp;"'"&amp;"!B:B"))</f>
        <v>#N/A</v>
      </c>
      <c r="E19" s="759" t="s">
        <v>817</v>
      </c>
      <c r="F19" s="760" t="s">
        <v>816</v>
      </c>
      <c r="G19" s="763" t="e">
        <f ca="1">ROUND(C19*$C$18+D19*$D$18,0)</f>
        <v>#DIV/0!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t="e">
        <f ca="1">SUMIF(INDIRECT("'"&amp;C4&amp;"'"&amp;"!A:A"),结果表车库!B20,INDIRECT("'"&amp;C4&amp;"'"&amp;"!B:B"))</f>
        <v>#DIV/0!</v>
      </c>
      <c r="D20" s="768">
        <f ca="1">SUMIF(INDIRECT("'"&amp;D4&amp;"'"&amp;"!A:A"),结果表车库!B20,INDIRECT("'"&amp;D4&amp;"'"&amp;"!B:B"))</f>
        <v>0</v>
      </c>
      <c r="E20" s="765"/>
      <c r="F20" s="766" t="s">
        <v>819</v>
      </c>
      <c r="G20" s="769" t="e">
        <f ca="1">ROUND(C20*$C$18+D20*$D$18,0)</f>
        <v>#DIV/0!</v>
      </c>
      <c r="H20" s="538" t="s">
        <v>820</v>
      </c>
      <c r="I20" s="458"/>
    </row>
    <row r="21" ht="15" customHeight="1" spans="1:9">
      <c r="A21" s="770"/>
      <c r="B21" s="771" t="s">
        <v>821</v>
      </c>
      <c r="C21" s="772" t="e">
        <f ca="1">ROUND(C19*10000/L19,0)</f>
        <v>#DIV/0!</v>
      </c>
      <c r="D21" s="773" t="e">
        <f ca="1">ROUND(D19*10000/L19,0)</f>
        <v>#N/A</v>
      </c>
      <c r="E21" s="770"/>
      <c r="F21" s="771" t="s">
        <v>821</v>
      </c>
      <c r="G21" s="774" t="e">
        <f ca="1">ROUND(G19*10000/L19,0)</f>
        <v>#DIV/0!</v>
      </c>
      <c r="H21" s="775" t="s">
        <v>820</v>
      </c>
      <c r="I21" s="458"/>
    </row>
    <row r="22" ht="14.75" spans="1:9">
      <c r="A22" s="776" t="s">
        <v>822</v>
      </c>
      <c r="B22" s="777"/>
      <c r="C22" s="778"/>
      <c r="D22" s="779" t="e">
        <f ca="1">IF(C19&lt;D19,D19/C19-1,C19/D19-1)</f>
        <v>#DIV/0!</v>
      </c>
      <c r="E22" s="458"/>
      <c r="F22" s="458"/>
      <c r="G22" s="458"/>
      <c r="H22" s="458"/>
      <c r="I22" s="458"/>
    </row>
    <row r="23" ht="14.75" spans="1:9">
      <c r="A23" s="529"/>
      <c r="B23" s="529"/>
      <c r="C23" s="529"/>
      <c r="D23" s="529"/>
      <c r="E23" s="458"/>
      <c r="F23" s="458"/>
      <c r="G23" s="458" t="e">
        <f ca="1">G19*35</f>
        <v>#DIV/0!</v>
      </c>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t="e">
        <f ca="1">IF(D32="总价",G19-C24,G20-C25)</f>
        <v>#DIV/0!</v>
      </c>
      <c r="D32" s="794"/>
      <c r="E32" s="458"/>
      <c r="F32" s="458"/>
      <c r="G32" s="458"/>
      <c r="H32" s="458"/>
      <c r="I32" s="458"/>
    </row>
    <row r="33" ht="14" spans="1:9">
      <c r="A33" s="795" t="s">
        <v>833</v>
      </c>
      <c r="B33" s="420"/>
      <c r="C33" s="796"/>
      <c r="D33" s="797"/>
      <c r="E33" s="798" t="s">
        <v>834</v>
      </c>
      <c r="F33" s="799" t="str">
        <f>IF(D32="楼面单价","取值（单价）","取值（总价）")</f>
        <v>取值（总价）</v>
      </c>
      <c r="G33" s="458"/>
      <c r="H33" s="458"/>
      <c r="I33" s="458"/>
    </row>
    <row r="34" ht="14" spans="1:9">
      <c r="A34" s="800"/>
      <c r="B34" s="801" t="s">
        <v>835</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t="e">
        <f ca="1">ROUND(H101*F45,0)</f>
        <v>#REF!</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26" spans="1:15">
      <c r="A48" s="857" t="s">
        <v>862</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863</v>
      </c>
      <c r="H48" s="860"/>
      <c r="I48" s="850"/>
      <c r="J48" s="912">
        <v>3</v>
      </c>
      <c r="K48" s="913" t="s">
        <v>865</v>
      </c>
      <c r="L48" s="913"/>
      <c r="M48" s="916" t="e">
        <f ca="1">H101</f>
        <v>#REF!</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t="e">
        <f ca="1">ROUND(D45*'数据-取费表'!B41/(1+'数据-取费表'!C42),0)</f>
        <v>#REF!</v>
      </c>
      <c r="E52" s="435" t="s">
        <v>882</v>
      </c>
      <c r="F52" s="872">
        <f>'数据-取费表'!B41</f>
        <v>0.056</v>
      </c>
      <c r="G52" s="873"/>
      <c r="H52" s="550"/>
      <c r="I52" s="918"/>
      <c r="J52" s="912">
        <v>1</v>
      </c>
      <c r="K52" s="912" t="s">
        <v>883</v>
      </c>
      <c r="L52" s="912"/>
      <c r="M52" s="919" t="b">
        <f ca="1" t="shared" ref="M52:O52" si="0">D48</f>
        <v>0</v>
      </c>
      <c r="N52" s="912" t="str">
        <f t="shared" si="0"/>
        <v>销售额×税（费）率</v>
      </c>
      <c r="O52" s="920">
        <f t="shared" si="0"/>
        <v>0.056</v>
      </c>
    </row>
    <row r="53" ht="12" customHeight="1" spans="1:15">
      <c r="A53" s="871" t="s">
        <v>884</v>
      </c>
      <c r="B53" s="410" t="s">
        <v>885</v>
      </c>
      <c r="C53" s="874"/>
      <c r="D53" s="431" t="e">
        <f ca="1">ROUND(D45*'数据-取费表'!B41/(1+'数据-取费表'!C42),0)</f>
        <v>#REF!</v>
      </c>
      <c r="E53" s="435" t="s">
        <v>882</v>
      </c>
      <c r="F53" s="872">
        <f>'数据-取费表'!B41</f>
        <v>0.056</v>
      </c>
      <c r="G53" s="873"/>
      <c r="H53" s="550"/>
      <c r="I53" s="918"/>
      <c r="J53" s="912">
        <v>2</v>
      </c>
      <c r="K53" s="912" t="s">
        <v>886</v>
      </c>
      <c r="L53" s="912"/>
      <c r="M53" s="919" t="e">
        <f ca="1" t="shared" ref="M53:O53" si="1">D55</f>
        <v>#REF!</v>
      </c>
      <c r="N53" s="912" t="str">
        <f t="shared" si="1"/>
        <v>销售额×税（费）率</v>
      </c>
      <c r="O53" s="920" t="str">
        <f t="shared" si="1"/>
        <v>免征</v>
      </c>
    </row>
    <row r="54" ht="12" customHeight="1" spans="1:15">
      <c r="A54" s="871" t="s">
        <v>887</v>
      </c>
      <c r="B54" s="410" t="s">
        <v>888</v>
      </c>
      <c r="C54" s="874"/>
      <c r="D54" s="431" t="e">
        <f ca="1">C68</f>
        <v>#REF!</v>
      </c>
      <c r="E54" s="445" t="s">
        <v>889</v>
      </c>
      <c r="F54" s="872">
        <f>'数据-取费表'!B41</f>
        <v>0.056</v>
      </c>
      <c r="G54" s="873"/>
      <c r="H54" s="875"/>
      <c r="I54" s="918"/>
      <c r="J54" s="912">
        <v>3</v>
      </c>
      <c r="K54" s="912" t="s">
        <v>890</v>
      </c>
      <c r="L54" s="912"/>
      <c r="M54" s="919" t="e">
        <f ca="1" t="shared" ref="M54:O54" si="2">D56</f>
        <v>#REF!</v>
      </c>
      <c r="N54" s="912" t="str">
        <f t="shared" si="2"/>
        <v>增值额×税（费）率</v>
      </c>
      <c r="O54" s="921" t="str">
        <f t="shared" si="2"/>
        <v>免征</v>
      </c>
    </row>
    <row r="55" ht="24" customHeight="1" spans="1:15">
      <c r="A55" s="871" t="s">
        <v>891</v>
      </c>
      <c r="B55" s="435"/>
      <c r="C55" s="435"/>
      <c r="D55" s="536" t="e">
        <f ca="1">IF(H55="个人住宅",0,ROUND(D45*I55,0))</f>
        <v>#REF!</v>
      </c>
      <c r="E55" s="435" t="s">
        <v>892</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894</v>
      </c>
      <c r="B56" s="435"/>
      <c r="C56" s="435"/>
      <c r="D56" s="536" t="e">
        <f ca="1">IF(H56="个人住宅",D57,D58)</f>
        <v>#REF!</v>
      </c>
      <c r="E56" s="435" t="s">
        <v>895</v>
      </c>
      <c r="F56" s="872" t="str">
        <f>IF(H56="正常",F58,"免征")</f>
        <v>免征</v>
      </c>
      <c r="G56" s="876" t="s">
        <v>896</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866</v>
      </c>
      <c r="B57" s="410" t="s">
        <v>897</v>
      </c>
      <c r="C57" s="874"/>
      <c r="D57" s="861">
        <v>0</v>
      </c>
      <c r="E57" s="441" t="s">
        <v>868</v>
      </c>
      <c r="F57" s="375"/>
      <c r="G57" s="873"/>
      <c r="H57" s="878"/>
      <c r="I57" s="888"/>
      <c r="J57" s="912">
        <f>IF(AND(J55="",J56=""),4,IF(项目基本情况!K6="上海银行",结果表车库!J56+1,结果表车库!J55+1))</f>
        <v>5</v>
      </c>
      <c r="K57" s="912" t="s">
        <v>898</v>
      </c>
      <c r="L57" s="927" t="s">
        <v>899</v>
      </c>
      <c r="M57" s="928"/>
      <c r="N57" s="929">
        <f ca="1">SUMIF(M52:M56,"&lt;9e307")</f>
        <v>0</v>
      </c>
      <c r="O57" s="930"/>
      <c r="P57" s="931" t="e">
        <f ca="1">N57/M49</f>
        <v>#VALUE!</v>
      </c>
    </row>
    <row r="58" ht="26" spans="1:15">
      <c r="A58" s="871" t="s">
        <v>880</v>
      </c>
      <c r="B58" s="410" t="s">
        <v>900</v>
      </c>
      <c r="C58" s="411"/>
      <c r="D58" s="536" t="e">
        <f ca="1">IF(H58="转让取得",C81,C97)</f>
        <v>#REF!</v>
      </c>
      <c r="E58" s="435" t="s">
        <v>895</v>
      </c>
      <c r="F58" s="375" t="s">
        <v>124</v>
      </c>
      <c r="G58" s="873"/>
      <c r="H58" s="877"/>
      <c r="I58" s="888"/>
      <c r="J58" s="912"/>
      <c r="K58" s="912"/>
      <c r="L58" s="927" t="s">
        <v>902</v>
      </c>
      <c r="M58" s="932"/>
      <c r="N58" s="933" t="str">
        <f ca="1">NUMBERSTRING(INT(N57*10000),2)&amp;"元整"</f>
        <v>零元整</v>
      </c>
      <c r="O58" s="934"/>
    </row>
    <row r="59" ht="26.75" spans="1:15">
      <c r="A59" s="879" t="s">
        <v>903</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896</v>
      </c>
      <c r="H59" s="885"/>
      <c r="I59" s="935" t="s">
        <v>905</v>
      </c>
      <c r="J59" s="924">
        <f>J57+1</f>
        <v>6</v>
      </c>
      <c r="K59" s="912" t="s">
        <v>906</v>
      </c>
      <c r="L59" s="912" t="s">
        <v>899</v>
      </c>
      <c r="M59" s="936"/>
      <c r="N59" s="937" t="e">
        <f ca="1">M49-N57</f>
        <v>#VALUE!</v>
      </c>
      <c r="O59" s="938"/>
    </row>
    <row r="60" ht="12" customHeight="1" spans="1:15">
      <c r="A60" s="886"/>
      <c r="B60" s="529"/>
      <c r="C60" s="529"/>
      <c r="D60" s="529"/>
      <c r="E60" s="887"/>
      <c r="F60" s="888"/>
      <c r="G60" s="888"/>
      <c r="H60" s="889"/>
      <c r="I60" s="458"/>
      <c r="J60" s="939"/>
      <c r="K60" s="912"/>
      <c r="L60" s="927" t="s">
        <v>902</v>
      </c>
      <c r="M60" s="932"/>
      <c r="N60" s="933" t="e">
        <f ca="1">NUMBERSTRING(INT(N59*10000),2)&amp;"元整"</f>
        <v>#VALUE!</v>
      </c>
      <c r="O60" s="934"/>
    </row>
    <row r="61" ht="14.75" spans="1:15">
      <c r="A61" s="890" t="s">
        <v>907</v>
      </c>
      <c r="B61" s="890"/>
      <c r="C61" s="890"/>
      <c r="D61" s="890"/>
      <c r="E61" s="890"/>
      <c r="F61" s="888"/>
      <c r="G61" s="888"/>
      <c r="H61" s="889"/>
      <c r="I61" s="458"/>
      <c r="J61" s="912">
        <f>J59+1</f>
        <v>7</v>
      </c>
      <c r="K61" s="912" t="s">
        <v>908</v>
      </c>
      <c r="L61" s="912"/>
      <c r="M61" s="940"/>
      <c r="N61" s="941" t="e">
        <f ca="1">ROUND(N59*10000/'数据-汇总表'!E3,0)</f>
        <v>#VALUE!</v>
      </c>
      <c r="O61" s="942"/>
    </row>
    <row r="62" ht="14" spans="1:9">
      <c r="A62" s="891" t="s">
        <v>909</v>
      </c>
      <c r="B62" s="892"/>
      <c r="C62" s="892"/>
      <c r="D62" s="892" t="s">
        <v>910</v>
      </c>
      <c r="E62" s="893" t="s">
        <v>860</v>
      </c>
      <c r="F62" s="888"/>
      <c r="G62" s="888"/>
      <c r="H62" s="889"/>
      <c r="I62" s="458"/>
    </row>
    <row r="63" ht="14" spans="1:35">
      <c r="A63" s="894" t="s">
        <v>911</v>
      </c>
      <c r="B63" s="895" t="s">
        <v>912</v>
      </c>
      <c r="C63" s="896" t="e">
        <f ca="1">ROUND((C64+C65)/(1+'数据-取费表'!C42),0)</f>
        <v>#REF!</v>
      </c>
      <c r="D63" s="895"/>
      <c r="E63" s="897"/>
      <c r="F63" s="888"/>
      <c r="G63" s="888"/>
      <c r="H63" s="889"/>
      <c r="I63" s="458"/>
      <c r="J63" s="943" t="s">
        <v>913</v>
      </c>
      <c r="K63" s="943" t="s">
        <v>914</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915</v>
      </c>
      <c r="B64" s="899" t="s">
        <v>916</v>
      </c>
      <c r="C64" s="900" t="e">
        <f ca="1">D45</f>
        <v>#REF!</v>
      </c>
      <c r="D64" s="899" t="s">
        <v>124</v>
      </c>
      <c r="E64" s="901"/>
      <c r="F64" s="888"/>
      <c r="G64" s="888"/>
      <c r="H64" s="889"/>
      <c r="I64" s="458"/>
      <c r="J64" s="943"/>
      <c r="K64" s="943" t="s">
        <v>917</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918</v>
      </c>
      <c r="Z64" s="730"/>
      <c r="AI64" s="731"/>
    </row>
    <row r="65" ht="14.25" customHeight="1" spans="1:35">
      <c r="A65" s="898" t="s">
        <v>919</v>
      </c>
      <c r="B65" s="899" t="s">
        <v>920</v>
      </c>
      <c r="C65" s="946"/>
      <c r="D65" s="899"/>
      <c r="E65" s="901"/>
      <c r="F65" s="888"/>
      <c r="G65" s="888"/>
      <c r="H65" s="889"/>
      <c r="I65" s="458"/>
      <c r="J65" s="943"/>
      <c r="K65" s="943" t="s">
        <v>921</v>
      </c>
      <c r="L65" s="943" t="e">
        <f ca="1">IF(M49&gt;1000,M49*0.1%,IF(AND(M49&gt;500,M49&lt;=1000),M49*0.5%,IF(AND(M49&gt;50,M49&lt;=500),M49*1%,IF(AND(M49&gt;1,M49&lt;=50),M49*1.5%))))</f>
        <v>#VALUE!</v>
      </c>
      <c r="M65" s="375" t="e">
        <f ca="1" t="shared" si="4"/>
        <v>#VALUE!</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t="e">
        <f ca="1">M49*0.5%</f>
        <v>#VALUE!</v>
      </c>
      <c r="M66" s="375" t="e">
        <f ca="1">IF(L66&gt;0.5,0.5,ROUND(L66,0))</f>
        <v>#VALUE!</v>
      </c>
      <c r="N66" s="550" t="s">
        <v>926</v>
      </c>
      <c r="Z66" s="730"/>
      <c r="AI66" s="731"/>
    </row>
    <row r="67" ht="14.25" customHeight="1" spans="1:35">
      <c r="A67" s="894" t="s">
        <v>927</v>
      </c>
      <c r="B67" s="947" t="s">
        <v>928</v>
      </c>
      <c r="C67" s="950" t="e">
        <f ca="1">C63-C66</f>
        <v>#REF!</v>
      </c>
      <c r="D67" s="899" t="s">
        <v>124</v>
      </c>
      <c r="E67" s="901"/>
      <c r="F67" s="888"/>
      <c r="G67" s="888"/>
      <c r="H67" s="889"/>
      <c r="I67" s="458"/>
      <c r="J67" s="943"/>
      <c r="K67" s="943" t="s">
        <v>929</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930</v>
      </c>
      <c r="B68" s="952" t="s">
        <v>931</v>
      </c>
      <c r="C68" s="953" t="e">
        <f ca="1">IF(C67&lt;=0,0,ROUND(C67*D68,0))</f>
        <v>#REF!</v>
      </c>
      <c r="D68" s="954">
        <f>'数据-取费表'!B41</f>
        <v>0.056</v>
      </c>
      <c r="E68" s="955"/>
      <c r="F68" s="888"/>
      <c r="G68" s="888"/>
      <c r="H68" s="889"/>
      <c r="I68" s="458"/>
      <c r="J68" s="943"/>
      <c r="K68" s="943" t="s">
        <v>932</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933</v>
      </c>
      <c r="L69" s="943"/>
      <c r="M69" s="375" t="e">
        <f ca="1">ROUND(SUM(M63:M68),0)</f>
        <v>#VALUE!</v>
      </c>
      <c r="N69" s="1057" t="e">
        <f ca="1">M69/M49</f>
        <v>#VALUE!</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t="e">
        <f ca="1">ROUND(D45*D78/(1+'数据-取费表'!C42),0)</f>
        <v>#REF!</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938</v>
      </c>
      <c r="B88" s="899" t="s">
        <v>957</v>
      </c>
      <c r="C88" s="993"/>
      <c r="D88" s="978"/>
      <c r="E88" s="994" t="s">
        <v>958</v>
      </c>
      <c r="F88" s="980"/>
      <c r="G88" s="995" t="s">
        <v>959</v>
      </c>
      <c r="H88" s="996"/>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0</v>
      </c>
      <c r="D91" s="978"/>
      <c r="E91" s="979" t="s">
        <v>968</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0</v>
      </c>
      <c r="D92" s="1000"/>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t="e">
        <f ca="1">ROUND(D45*D93/(1+'数据-取费表'!C42),0)</f>
        <v>#REF!</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f ca="1">ROUND((C87+C90+C91)*D94,0)</f>
        <v>0</v>
      </c>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成本法车库</v>
      </c>
      <c r="D101" s="1011" t="str">
        <f>D4</f>
        <v>收益法车库</v>
      </c>
      <c r="E101" s="1012" t="s">
        <v>982</v>
      </c>
      <c r="F101" s="1013"/>
      <c r="G101" s="1014" t="s">
        <v>983</v>
      </c>
      <c r="H101" s="1015" t="e">
        <f ca="1">H118</f>
        <v>#REF!</v>
      </c>
      <c r="I101" s="458"/>
    </row>
    <row r="102" ht="18.75" customHeight="1" spans="1:9">
      <c r="A102" s="1016" t="s">
        <v>984</v>
      </c>
      <c r="B102" s="1017" t="s">
        <v>983</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985</v>
      </c>
      <c r="F103" s="1021"/>
      <c r="G103" s="1022" t="s">
        <v>102</v>
      </c>
      <c r="H103" s="1015">
        <f>IF(D36="正常操作",H104+H105+H106,H105+H106)</f>
        <v>0</v>
      </c>
      <c r="I103" s="458"/>
    </row>
    <row r="104" ht="18.75" customHeight="1" spans="1:9">
      <c r="A104" s="1016" t="s">
        <v>986</v>
      </c>
      <c r="B104" s="1023" t="s">
        <v>983</v>
      </c>
      <c r="C104" s="1024" t="e">
        <f ca="1">H118</f>
        <v>#REF!</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999</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999</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999</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999</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1623</v>
      </c>
      <c r="C1" s="645"/>
      <c r="D1" s="645"/>
      <c r="E1" s="645"/>
      <c r="F1" s="645"/>
      <c r="G1" s="646" t="e">
        <f>MATCH(B1,'数据-取费表'!A6:A16,0)+5</f>
        <v>#N/A</v>
      </c>
    </row>
    <row r="2" s="636" customFormat="1" ht="18" customHeight="1" spans="1:7">
      <c r="A2" s="647" t="s">
        <v>1008</v>
      </c>
      <c r="B2" s="648" t="e">
        <f ca="1">IF(D2="——",C52,C52-E2)</f>
        <v>#DIV/0!</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#DIV/0!</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#DIV/0!</v>
      </c>
      <c r="D5" s="661" t="s">
        <v>1015</v>
      </c>
      <c r="E5" s="662" t="s">
        <v>1016</v>
      </c>
      <c r="F5" s="662" t="s">
        <v>910</v>
      </c>
      <c r="G5" s="663"/>
    </row>
    <row r="6" s="638" customFormat="1" ht="13.5" customHeight="1" spans="1:7">
      <c r="A6" s="664" t="s">
        <v>1017</v>
      </c>
      <c r="B6" s="665" t="s">
        <v>1018</v>
      </c>
      <c r="C6" s="666" t="e">
        <f>'基准地价修正-办公'!E42</f>
        <v>#DIV/0!</v>
      </c>
      <c r="D6" s="667"/>
      <c r="E6" s="668"/>
      <c r="F6" s="668"/>
      <c r="G6" s="669"/>
    </row>
    <row r="7" s="638" customFormat="1" ht="13.5" customHeight="1" spans="1:7">
      <c r="A7" s="664" t="s">
        <v>1019</v>
      </c>
      <c r="B7" s="665" t="s">
        <v>1020</v>
      </c>
      <c r="C7" s="670" t="e">
        <f>ROUND(C6*F7,0)</f>
        <v>#DIV/0!</v>
      </c>
      <c r="D7" s="670"/>
      <c r="E7" s="668"/>
      <c r="F7" s="671">
        <f>IF(项目基本情况!B8="出让",0,'数据-取费表'!B48+'数据-取费表'!B49)</f>
        <v>0.0305</v>
      </c>
      <c r="G7" s="669"/>
    </row>
    <row r="8" s="639" customFormat="1" ht="13" spans="1:7">
      <c r="A8" s="664" t="s">
        <v>1021</v>
      </c>
      <c r="B8" s="665" t="s">
        <v>1022</v>
      </c>
      <c r="C8" s="670">
        <f ca="1">IF(G8="已包含在土地购买价格中","0",IF(B1="",'数据-取费表'!B29,IF(G9="全部缴纳",C9+C10,H9)))</f>
        <v>0</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#DIV/0!</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#DIV/0!</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#DIV/0!</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#DIV/0!</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#DIV/0!</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#DIV/0!</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#DIV/0!</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 t="shared" ref="F39:F41" si="0">F20</f>
        <v>0.02</v>
      </c>
      <c r="G39" s="686" t="s">
        <v>1087</v>
      </c>
    </row>
    <row r="40" s="638" customFormat="1" ht="13.5" customHeight="1" spans="1:7">
      <c r="A40" s="659" t="s">
        <v>1049</v>
      </c>
      <c r="B40" s="660" t="s">
        <v>1053</v>
      </c>
      <c r="C40" s="687">
        <f>F21</f>
        <v>0.02</v>
      </c>
      <c r="D40" s="688" t="s">
        <v>1088</v>
      </c>
      <c r="E40" s="505"/>
      <c r="F40" s="685">
        <f t="shared" si="0"/>
        <v>0.02</v>
      </c>
      <c r="G40" s="686" t="s">
        <v>1089</v>
      </c>
    </row>
    <row r="41" s="638" customFormat="1" ht="13.5" customHeight="1" spans="1:7">
      <c r="A41" s="659" t="s">
        <v>1052</v>
      </c>
      <c r="B41" s="660" t="s">
        <v>1057</v>
      </c>
      <c r="C41" s="505" t="e">
        <f ca="1">ROUND(SUM(C42:C43),0)</f>
        <v>#N/A</v>
      </c>
      <c r="D41" s="687">
        <f ca="1">C44</f>
        <v>0.0006</v>
      </c>
      <c r="E41" s="688" t="s">
        <v>1088</v>
      </c>
      <c r="F41" s="690">
        <f ca="1" t="shared" si="0"/>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#DIV/0!</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1623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f ca="1">ROUND(IF(F10="押一",C6/12*F11,IF(F10="押二",C6/12*2*F11,IF(F10="押三",C6/12*3*F11,C11*F11))),0)</f>
        <v>0</v>
      </c>
      <c r="D10" s="388" t="s">
        <v>1288</v>
      </c>
      <c r="E10" s="389" t="s">
        <v>1289</v>
      </c>
      <c r="F10" s="390" t="s">
        <v>2244</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2005</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41</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f>IF(L55="比较法",L49,IF(L55="基准地价",L50,0))</f>
        <v>0</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 t="shared" ref="F68:F71" si="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 t="shared" si="1"/>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 t="shared" si="1"/>
        <v>#N/A</v>
      </c>
      <c r="O71" s="573" t="s">
        <v>1447</v>
      </c>
      <c r="P71" s="634" t="s">
        <v>1448</v>
      </c>
      <c r="Q71" s="607" t="e">
        <f ca="1">C76</f>
        <v>#N/A</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2245</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2246</v>
      </c>
      <c r="B2" s="307"/>
      <c r="C2" s="307"/>
      <c r="D2" s="307"/>
      <c r="E2" s="307"/>
      <c r="F2" s="307"/>
      <c r="G2" s="308" t="s">
        <v>2247</v>
      </c>
      <c r="I2" s="317" t="s">
        <v>2248</v>
      </c>
      <c r="J2" s="317" t="s">
        <v>2249</v>
      </c>
      <c r="K2" s="317" t="s">
        <v>2250</v>
      </c>
      <c r="L2" s="317" t="s">
        <v>2251</v>
      </c>
      <c r="M2" s="317" t="s">
        <v>2252</v>
      </c>
      <c r="N2" s="317" t="s">
        <v>2253</v>
      </c>
      <c r="O2" s="317" t="s">
        <v>2254</v>
      </c>
      <c r="P2" s="317" t="s">
        <v>2255</v>
      </c>
      <c r="Q2" s="317" t="s">
        <v>2256</v>
      </c>
      <c r="R2" s="317" t="s">
        <v>2257</v>
      </c>
      <c r="S2" s="317" t="s">
        <v>2258</v>
      </c>
      <c r="T2" s="317" t="s">
        <v>2259</v>
      </c>
    </row>
    <row r="3" s="302" customFormat="1" spans="1:20">
      <c r="A3" s="309" t="s">
        <v>2260</v>
      </c>
      <c r="B3" s="310"/>
      <c r="C3" s="311" t="s">
        <v>675</v>
      </c>
      <c r="D3" s="311" t="s">
        <v>573</v>
      </c>
      <c r="E3" s="311" t="s">
        <v>430</v>
      </c>
      <c r="F3" s="311" t="s">
        <v>426</v>
      </c>
      <c r="G3" s="311" t="s">
        <v>280</v>
      </c>
      <c r="H3" s="312"/>
      <c r="I3" s="318" t="s">
        <v>2261</v>
      </c>
      <c r="J3" s="319" t="s">
        <v>2262</v>
      </c>
      <c r="K3" s="319" t="s">
        <v>2263</v>
      </c>
      <c r="L3" s="318" t="s">
        <v>2264</v>
      </c>
      <c r="M3" s="318" t="s">
        <v>2265</v>
      </c>
      <c r="N3" s="318" t="s">
        <v>2266</v>
      </c>
      <c r="O3" s="318" t="s">
        <v>2267</v>
      </c>
      <c r="P3" s="318" t="s">
        <v>2268</v>
      </c>
      <c r="Q3" s="318" t="s">
        <v>2269</v>
      </c>
      <c r="R3" s="318" t="s">
        <v>2270</v>
      </c>
      <c r="S3" s="318" t="s">
        <v>2271</v>
      </c>
      <c r="T3" s="318" t="s">
        <v>2272</v>
      </c>
    </row>
    <row r="4" s="302" customFormat="1" ht="12.75" spans="1:20">
      <c r="A4" s="313"/>
      <c r="B4" s="314" t="s">
        <v>2273</v>
      </c>
      <c r="C4" s="314" t="s">
        <v>2274</v>
      </c>
      <c r="D4" s="314" t="s">
        <v>2274</v>
      </c>
      <c r="E4" s="314" t="s">
        <v>2274</v>
      </c>
      <c r="F4" s="315" t="s">
        <v>2274</v>
      </c>
      <c r="G4" s="315" t="s">
        <v>2274</v>
      </c>
      <c r="H4" s="312"/>
      <c r="I4" s="319" t="s">
        <v>2275</v>
      </c>
      <c r="J4" s="319" t="s">
        <v>2276</v>
      </c>
      <c r="K4" s="319" t="s">
        <v>2277</v>
      </c>
      <c r="L4" s="318" t="s">
        <v>2278</v>
      </c>
      <c r="M4" s="318" t="s">
        <v>2279</v>
      </c>
      <c r="N4" s="318" t="s">
        <v>2280</v>
      </c>
      <c r="O4" s="318" t="s">
        <v>2281</v>
      </c>
      <c r="P4" s="318" t="s">
        <v>2282</v>
      </c>
      <c r="Q4" s="318" t="s">
        <v>2283</v>
      </c>
      <c r="R4" s="318" t="s">
        <v>2284</v>
      </c>
      <c r="S4" s="318" t="s">
        <v>2285</v>
      </c>
      <c r="T4" s="318" t="s">
        <v>2286</v>
      </c>
    </row>
    <row r="5" spans="1:20">
      <c r="A5" s="316" t="s">
        <v>230</v>
      </c>
      <c r="B5" s="317" t="s">
        <v>2248</v>
      </c>
      <c r="C5" s="317">
        <v>34550</v>
      </c>
      <c r="D5" s="317">
        <v>34470</v>
      </c>
      <c r="E5" s="317">
        <v>34330</v>
      </c>
      <c r="F5" s="317">
        <v>13400</v>
      </c>
      <c r="G5" s="317">
        <v>25450</v>
      </c>
      <c r="H5" s="312"/>
      <c r="I5" s="318" t="s">
        <v>2287</v>
      </c>
      <c r="J5" s="319" t="s">
        <v>2288</v>
      </c>
      <c r="K5" s="319" t="s">
        <v>2289</v>
      </c>
      <c r="L5" s="318" t="s">
        <v>2290</v>
      </c>
      <c r="M5" s="318" t="s">
        <v>2291</v>
      </c>
      <c r="N5" s="318" t="s">
        <v>2292</v>
      </c>
      <c r="O5" s="318" t="s">
        <v>2293</v>
      </c>
      <c r="P5" s="318" t="s">
        <v>2294</v>
      </c>
      <c r="Q5" s="318" t="s">
        <v>2295</v>
      </c>
      <c r="R5" s="318" t="s">
        <v>2296</v>
      </c>
      <c r="S5" s="318" t="s">
        <v>2297</v>
      </c>
      <c r="T5" s="318" t="s">
        <v>2298</v>
      </c>
    </row>
    <row r="6" ht="12.75" spans="1:20">
      <c r="A6" s="318" t="s">
        <v>230</v>
      </c>
      <c r="B6" s="318" t="s">
        <v>2261</v>
      </c>
      <c r="C6" s="318">
        <v>36990</v>
      </c>
      <c r="D6" s="318">
        <v>36850</v>
      </c>
      <c r="E6" s="318">
        <v>36700</v>
      </c>
      <c r="F6" s="318">
        <v>14590</v>
      </c>
      <c r="G6" s="318">
        <v>27450</v>
      </c>
      <c r="H6" s="312"/>
      <c r="I6" s="321" t="s">
        <v>2299</v>
      </c>
      <c r="J6" s="319" t="s">
        <v>2300</v>
      </c>
      <c r="K6" s="319" t="s">
        <v>2301</v>
      </c>
      <c r="L6" s="318" t="s">
        <v>2302</v>
      </c>
      <c r="M6" s="318" t="s">
        <v>2303</v>
      </c>
      <c r="N6" s="318" t="s">
        <v>2304</v>
      </c>
      <c r="O6" s="318" t="s">
        <v>2305</v>
      </c>
      <c r="P6" s="318" t="s">
        <v>2306</v>
      </c>
      <c r="Q6" s="318" t="s">
        <v>2307</v>
      </c>
      <c r="R6" s="318" t="s">
        <v>2308</v>
      </c>
      <c r="S6" s="318" t="s">
        <v>2309</v>
      </c>
      <c r="T6" s="318" t="s">
        <v>2310</v>
      </c>
    </row>
    <row r="7" spans="1:20">
      <c r="A7" s="318" t="s">
        <v>230</v>
      </c>
      <c r="B7" s="319" t="s">
        <v>2275</v>
      </c>
      <c r="C7" s="318">
        <v>34850</v>
      </c>
      <c r="D7" s="318">
        <v>34690</v>
      </c>
      <c r="E7" s="318">
        <v>34550</v>
      </c>
      <c r="F7" s="318">
        <v>14360</v>
      </c>
      <c r="G7" s="318">
        <v>25620</v>
      </c>
      <c r="H7" s="312"/>
      <c r="J7" s="319" t="s">
        <v>2311</v>
      </c>
      <c r="K7" s="319" t="s">
        <v>2312</v>
      </c>
      <c r="L7" s="318" t="s">
        <v>2313</v>
      </c>
      <c r="M7" s="318" t="s">
        <v>2314</v>
      </c>
      <c r="N7" s="318" t="s">
        <v>2315</v>
      </c>
      <c r="O7" s="318" t="s">
        <v>2316</v>
      </c>
      <c r="P7" s="318" t="s">
        <v>2317</v>
      </c>
      <c r="Q7" s="318" t="s">
        <v>2318</v>
      </c>
      <c r="R7" s="318" t="s">
        <v>2319</v>
      </c>
      <c r="S7" s="318" t="s">
        <v>2320</v>
      </c>
      <c r="T7" s="318" t="s">
        <v>2321</v>
      </c>
    </row>
    <row r="8" ht="12.75" spans="1:20">
      <c r="A8" s="318" t="s">
        <v>230</v>
      </c>
      <c r="B8" s="318" t="s">
        <v>2287</v>
      </c>
      <c r="C8" s="318">
        <v>32630</v>
      </c>
      <c r="D8" s="318">
        <v>32510</v>
      </c>
      <c r="E8" s="318">
        <v>32420</v>
      </c>
      <c r="F8" s="318">
        <v>13300</v>
      </c>
      <c r="G8" s="318">
        <v>24010</v>
      </c>
      <c r="H8" s="312"/>
      <c r="J8" s="319" t="s">
        <v>2322</v>
      </c>
      <c r="K8" s="319" t="s">
        <v>2323</v>
      </c>
      <c r="L8" s="318" t="s">
        <v>2324</v>
      </c>
      <c r="M8" s="318" t="s">
        <v>2325</v>
      </c>
      <c r="N8" s="318" t="s">
        <v>2326</v>
      </c>
      <c r="O8" s="318" t="s">
        <v>2327</v>
      </c>
      <c r="P8" s="318" t="s">
        <v>2328</v>
      </c>
      <c r="Q8" s="318" t="s">
        <v>2329</v>
      </c>
      <c r="R8" s="318" t="s">
        <v>2330</v>
      </c>
      <c r="S8" s="318" t="s">
        <v>2331</v>
      </c>
      <c r="T8" s="322" t="s">
        <v>2332</v>
      </c>
    </row>
    <row r="9" ht="12.75" spans="1:19">
      <c r="A9" s="320" t="s">
        <v>230</v>
      </c>
      <c r="B9" s="321" t="s">
        <v>2299</v>
      </c>
      <c r="C9" s="322">
        <v>36370</v>
      </c>
      <c r="D9" s="322">
        <v>36210</v>
      </c>
      <c r="E9" s="322">
        <v>36050</v>
      </c>
      <c r="F9" s="322"/>
      <c r="G9" s="322">
        <v>26740</v>
      </c>
      <c r="H9" s="312"/>
      <c r="J9" s="319" t="s">
        <v>2333</v>
      </c>
      <c r="K9" s="319" t="s">
        <v>2334</v>
      </c>
      <c r="L9" s="318" t="s">
        <v>2335</v>
      </c>
      <c r="M9" s="318" t="s">
        <v>2336</v>
      </c>
      <c r="N9" s="318" t="s">
        <v>2337</v>
      </c>
      <c r="O9" s="318" t="s">
        <v>2338</v>
      </c>
      <c r="P9" s="318" t="s">
        <v>2339</v>
      </c>
      <c r="Q9" s="318" t="s">
        <v>2340</v>
      </c>
      <c r="R9" s="318" t="s">
        <v>2341</v>
      </c>
      <c r="S9" s="318" t="s">
        <v>2342</v>
      </c>
    </row>
    <row r="10" spans="1:19">
      <c r="A10" s="316" t="s">
        <v>241</v>
      </c>
      <c r="B10" s="317" t="s">
        <v>2249</v>
      </c>
      <c r="C10" s="318">
        <v>32350</v>
      </c>
      <c r="D10" s="318">
        <v>31430</v>
      </c>
      <c r="E10" s="318">
        <v>31320</v>
      </c>
      <c r="F10" s="318">
        <v>10850</v>
      </c>
      <c r="G10" s="318">
        <v>22860</v>
      </c>
      <c r="H10" s="312"/>
      <c r="J10" s="319" t="s">
        <v>2343</v>
      </c>
      <c r="K10" s="319" t="s">
        <v>2344</v>
      </c>
      <c r="L10" s="318" t="s">
        <v>2345</v>
      </c>
      <c r="M10" s="318" t="s">
        <v>2346</v>
      </c>
      <c r="N10" s="318" t="s">
        <v>2347</v>
      </c>
      <c r="O10" s="318" t="s">
        <v>2348</v>
      </c>
      <c r="P10" s="318" t="s">
        <v>2349</v>
      </c>
      <c r="Q10" s="318" t="s">
        <v>2350</v>
      </c>
      <c r="R10" s="318" t="s">
        <v>2351</v>
      </c>
      <c r="S10" s="318" t="s">
        <v>2352</v>
      </c>
    </row>
    <row r="11" spans="1:19">
      <c r="A11" s="318" t="s">
        <v>241</v>
      </c>
      <c r="B11" s="319" t="s">
        <v>2262</v>
      </c>
      <c r="C11" s="318">
        <v>31590</v>
      </c>
      <c r="D11" s="318">
        <v>29490</v>
      </c>
      <c r="E11" s="318">
        <v>28700</v>
      </c>
      <c r="F11" s="318">
        <v>10410</v>
      </c>
      <c r="G11" s="318">
        <v>21460</v>
      </c>
      <c r="H11" s="312"/>
      <c r="J11" s="319" t="s">
        <v>2353</v>
      </c>
      <c r="K11" s="319" t="s">
        <v>2354</v>
      </c>
      <c r="L11" s="318" t="s">
        <v>2355</v>
      </c>
      <c r="M11" s="318" t="s">
        <v>2356</v>
      </c>
      <c r="N11" s="318" t="s">
        <v>2357</v>
      </c>
      <c r="O11" s="318" t="s">
        <v>2358</v>
      </c>
      <c r="P11" s="318" t="s">
        <v>2359</v>
      </c>
      <c r="Q11" s="318" t="s">
        <v>2360</v>
      </c>
      <c r="R11" s="318" t="s">
        <v>2361</v>
      </c>
      <c r="S11" s="318" t="s">
        <v>2362</v>
      </c>
    </row>
    <row r="12" spans="1:19">
      <c r="A12" s="318" t="s">
        <v>241</v>
      </c>
      <c r="B12" s="319" t="s">
        <v>2276</v>
      </c>
      <c r="C12" s="318">
        <v>29640</v>
      </c>
      <c r="D12" s="318">
        <v>27550</v>
      </c>
      <c r="E12" s="318">
        <v>28010</v>
      </c>
      <c r="F12" s="318">
        <v>8730</v>
      </c>
      <c r="G12" s="318">
        <v>20050</v>
      </c>
      <c r="H12" s="312"/>
      <c r="J12" s="319" t="s">
        <v>2363</v>
      </c>
      <c r="K12" s="319" t="s">
        <v>2364</v>
      </c>
      <c r="L12" s="318" t="s">
        <v>2365</v>
      </c>
      <c r="M12" s="318" t="s">
        <v>2366</v>
      </c>
      <c r="N12" s="318" t="s">
        <v>2367</v>
      </c>
      <c r="O12" s="318" t="s">
        <v>2368</v>
      </c>
      <c r="P12" s="318" t="s">
        <v>2369</v>
      </c>
      <c r="Q12" s="318" t="s">
        <v>2370</v>
      </c>
      <c r="R12" s="318" t="s">
        <v>2371</v>
      </c>
      <c r="S12" s="318" t="s">
        <v>2372</v>
      </c>
    </row>
    <row r="13" spans="1:19">
      <c r="A13" s="318" t="s">
        <v>241</v>
      </c>
      <c r="B13" s="319" t="s">
        <v>2288</v>
      </c>
      <c r="C13" s="318">
        <v>29680</v>
      </c>
      <c r="D13" s="318">
        <v>27660</v>
      </c>
      <c r="E13" s="318">
        <v>28210</v>
      </c>
      <c r="F13" s="318">
        <v>9590</v>
      </c>
      <c r="G13" s="318">
        <v>20120</v>
      </c>
      <c r="H13" s="312"/>
      <c r="J13" s="319" t="s">
        <v>2373</v>
      </c>
      <c r="K13" s="319" t="s">
        <v>2374</v>
      </c>
      <c r="L13" s="318" t="s">
        <v>2375</v>
      </c>
      <c r="M13" s="318" t="s">
        <v>2376</v>
      </c>
      <c r="N13" s="318" t="s">
        <v>2377</v>
      </c>
      <c r="O13" s="318" t="s">
        <v>2378</v>
      </c>
      <c r="P13" s="318" t="s">
        <v>2379</v>
      </c>
      <c r="Q13" s="318" t="s">
        <v>2380</v>
      </c>
      <c r="R13" s="318" t="s">
        <v>2381</v>
      </c>
      <c r="S13" s="318" t="s">
        <v>2382</v>
      </c>
    </row>
    <row r="14" spans="1:19">
      <c r="A14" s="318" t="s">
        <v>241</v>
      </c>
      <c r="B14" s="319" t="s">
        <v>2300</v>
      </c>
      <c r="C14" s="318">
        <v>30520</v>
      </c>
      <c r="D14" s="318">
        <v>29510</v>
      </c>
      <c r="E14" s="318">
        <v>29400</v>
      </c>
      <c r="F14" s="318">
        <v>9630</v>
      </c>
      <c r="G14" s="318">
        <v>21480</v>
      </c>
      <c r="H14" s="312"/>
      <c r="J14" s="319" t="s">
        <v>2383</v>
      </c>
      <c r="K14" s="319" t="s">
        <v>2384</v>
      </c>
      <c r="L14" s="318" t="s">
        <v>2385</v>
      </c>
      <c r="M14" s="318" t="s">
        <v>2386</v>
      </c>
      <c r="N14" s="318" t="s">
        <v>2387</v>
      </c>
      <c r="O14" s="318" t="s">
        <v>2388</v>
      </c>
      <c r="P14" s="318" t="s">
        <v>2389</v>
      </c>
      <c r="Q14" s="318" t="s">
        <v>2390</v>
      </c>
      <c r="R14" s="318" t="s">
        <v>2391</v>
      </c>
      <c r="S14" s="318" t="s">
        <v>2392</v>
      </c>
    </row>
    <row r="15" spans="1:19">
      <c r="A15" s="318" t="s">
        <v>241</v>
      </c>
      <c r="B15" s="319" t="s">
        <v>2311</v>
      </c>
      <c r="C15" s="318">
        <v>29090</v>
      </c>
      <c r="D15" s="318">
        <v>27590</v>
      </c>
      <c r="E15" s="318">
        <v>28120</v>
      </c>
      <c r="F15" s="318">
        <v>9110</v>
      </c>
      <c r="G15" s="318">
        <v>20070</v>
      </c>
      <c r="H15" s="312"/>
      <c r="J15" s="319" t="s">
        <v>2393</v>
      </c>
      <c r="K15" s="319" t="s">
        <v>2394</v>
      </c>
      <c r="L15" s="318" t="s">
        <v>2395</v>
      </c>
      <c r="M15" s="318" t="s">
        <v>2396</v>
      </c>
      <c r="N15" s="318" t="s">
        <v>2397</v>
      </c>
      <c r="O15" s="318" t="s">
        <v>2398</v>
      </c>
      <c r="P15" s="318" t="s">
        <v>2399</v>
      </c>
      <c r="Q15" s="318" t="s">
        <v>2400</v>
      </c>
      <c r="R15" s="318" t="s">
        <v>2401</v>
      </c>
      <c r="S15" s="318" t="s">
        <v>2402</v>
      </c>
    </row>
    <row r="16" spans="1:19">
      <c r="A16" s="318" t="s">
        <v>241</v>
      </c>
      <c r="B16" s="319" t="s">
        <v>2322</v>
      </c>
      <c r="C16" s="318">
        <v>26790</v>
      </c>
      <c r="D16" s="318">
        <v>30370</v>
      </c>
      <c r="E16" s="318">
        <v>30240</v>
      </c>
      <c r="F16" s="318">
        <v>11590</v>
      </c>
      <c r="G16" s="318">
        <v>22090</v>
      </c>
      <c r="H16" s="312"/>
      <c r="J16" s="319" t="s">
        <v>2403</v>
      </c>
      <c r="K16" s="319" t="s">
        <v>2404</v>
      </c>
      <c r="L16" s="318" t="s">
        <v>2405</v>
      </c>
      <c r="M16" s="318" t="s">
        <v>2406</v>
      </c>
      <c r="N16" s="318" t="s">
        <v>2407</v>
      </c>
      <c r="O16" s="318" t="s">
        <v>2408</v>
      </c>
      <c r="P16" s="318" t="s">
        <v>2409</v>
      </c>
      <c r="Q16" s="318" t="s">
        <v>2410</v>
      </c>
      <c r="R16" s="318" t="s">
        <v>2411</v>
      </c>
      <c r="S16" s="318" t="s">
        <v>2412</v>
      </c>
    </row>
    <row r="17" ht="14.25" customHeight="1" spans="1:19">
      <c r="A17" s="318" t="s">
        <v>241</v>
      </c>
      <c r="B17" s="319" t="s">
        <v>2333</v>
      </c>
      <c r="C17" s="318">
        <v>29180</v>
      </c>
      <c r="D17" s="318">
        <v>27620</v>
      </c>
      <c r="E17" s="318">
        <v>28180</v>
      </c>
      <c r="F17" s="318">
        <v>10790</v>
      </c>
      <c r="G17" s="318">
        <v>20090</v>
      </c>
      <c r="H17" s="312"/>
      <c r="J17" s="319" t="s">
        <v>2413</v>
      </c>
      <c r="K17" s="319" t="s">
        <v>2414</v>
      </c>
      <c r="L17" s="318" t="s">
        <v>2415</v>
      </c>
      <c r="M17" s="318" t="s">
        <v>2416</v>
      </c>
      <c r="N17" s="318" t="s">
        <v>2417</v>
      </c>
      <c r="O17" s="318" t="s">
        <v>2418</v>
      </c>
      <c r="P17" s="318" t="s">
        <v>2419</v>
      </c>
      <c r="Q17" s="318" t="s">
        <v>2420</v>
      </c>
      <c r="R17" s="318" t="s">
        <v>2421</v>
      </c>
      <c r="S17" s="318" t="s">
        <v>2422</v>
      </c>
    </row>
    <row r="18" ht="14.25" customHeight="1" spans="1:19">
      <c r="A18" s="318" t="s">
        <v>241</v>
      </c>
      <c r="B18" s="319" t="s">
        <v>2343</v>
      </c>
      <c r="C18" s="318">
        <v>26840</v>
      </c>
      <c r="D18" s="318">
        <v>28930</v>
      </c>
      <c r="E18" s="318">
        <v>28820</v>
      </c>
      <c r="F18" s="318"/>
      <c r="G18" s="318">
        <v>21050</v>
      </c>
      <c r="H18" s="312"/>
      <c r="J18" s="319" t="s">
        <v>2423</v>
      </c>
      <c r="K18" s="319" t="s">
        <v>2424</v>
      </c>
      <c r="L18" s="318" t="s">
        <v>2425</v>
      </c>
      <c r="M18" s="318" t="s">
        <v>2426</v>
      </c>
      <c r="N18" s="318" t="s">
        <v>2427</v>
      </c>
      <c r="O18" s="318" t="s">
        <v>2428</v>
      </c>
      <c r="P18" s="318" t="s">
        <v>2429</v>
      </c>
      <c r="Q18" s="318" t="s">
        <v>2430</v>
      </c>
      <c r="R18" s="318" t="s">
        <v>2431</v>
      </c>
      <c r="S18" s="318" t="s">
        <v>2432</v>
      </c>
    </row>
    <row r="19" ht="14.25" customHeight="1" spans="1:19">
      <c r="A19" s="318" t="s">
        <v>241</v>
      </c>
      <c r="B19" s="319" t="s">
        <v>2353</v>
      </c>
      <c r="C19" s="318">
        <v>27750</v>
      </c>
      <c r="D19" s="318">
        <v>26680</v>
      </c>
      <c r="E19" s="318">
        <v>26590</v>
      </c>
      <c r="F19" s="318"/>
      <c r="G19" s="318">
        <v>19420</v>
      </c>
      <c r="H19" s="312"/>
      <c r="J19" s="319" t="s">
        <v>2433</v>
      </c>
      <c r="K19" s="319" t="s">
        <v>2434</v>
      </c>
      <c r="L19" s="318" t="s">
        <v>2435</v>
      </c>
      <c r="M19" s="318" t="s">
        <v>2436</v>
      </c>
      <c r="N19" s="318" t="s">
        <v>2437</v>
      </c>
      <c r="O19" s="318" t="s">
        <v>2438</v>
      </c>
      <c r="P19" s="318" t="s">
        <v>2439</v>
      </c>
      <c r="Q19" s="318" t="s">
        <v>2440</v>
      </c>
      <c r="R19" s="318" t="s">
        <v>2441</v>
      </c>
      <c r="S19" s="318" t="s">
        <v>2442</v>
      </c>
    </row>
    <row r="20" ht="14.25" customHeight="1" spans="1:19">
      <c r="A20" s="318" t="s">
        <v>241</v>
      </c>
      <c r="B20" s="319" t="s">
        <v>2363</v>
      </c>
      <c r="C20" s="318">
        <v>27050</v>
      </c>
      <c r="D20" s="318">
        <v>29010</v>
      </c>
      <c r="E20" s="318">
        <v>28910</v>
      </c>
      <c r="F20" s="318"/>
      <c r="G20" s="318">
        <v>21110</v>
      </c>
      <c r="J20" s="319" t="s">
        <v>2443</v>
      </c>
      <c r="K20" s="319" t="s">
        <v>2444</v>
      </c>
      <c r="L20" s="318" t="s">
        <v>2445</v>
      </c>
      <c r="M20" s="318" t="s">
        <v>2446</v>
      </c>
      <c r="N20" s="318" t="s">
        <v>2447</v>
      </c>
      <c r="O20" s="318" t="s">
        <v>2448</v>
      </c>
      <c r="P20" s="318" t="s">
        <v>2449</v>
      </c>
      <c r="Q20" s="318" t="s">
        <v>2450</v>
      </c>
      <c r="R20" s="318" t="s">
        <v>2451</v>
      </c>
      <c r="S20" s="318" t="s">
        <v>2452</v>
      </c>
    </row>
    <row r="21" ht="14.25" customHeight="1" spans="1:19">
      <c r="A21" s="318" t="s">
        <v>241</v>
      </c>
      <c r="B21" s="319" t="s">
        <v>2373</v>
      </c>
      <c r="C21" s="318">
        <v>32370</v>
      </c>
      <c r="D21" s="318">
        <v>26730</v>
      </c>
      <c r="E21" s="318">
        <v>26640</v>
      </c>
      <c r="F21" s="318"/>
      <c r="G21" s="318">
        <v>19440</v>
      </c>
      <c r="J21" s="322" t="s">
        <v>2453</v>
      </c>
      <c r="K21" s="319" t="s">
        <v>2454</v>
      </c>
      <c r="L21" s="318" t="s">
        <v>2455</v>
      </c>
      <c r="M21" s="318" t="s">
        <v>2456</v>
      </c>
      <c r="N21" s="318" t="s">
        <v>2457</v>
      </c>
      <c r="O21" s="318" t="s">
        <v>2458</v>
      </c>
      <c r="P21" s="318" t="s">
        <v>2459</v>
      </c>
      <c r="Q21" s="318" t="s">
        <v>2460</v>
      </c>
      <c r="R21" s="318" t="s">
        <v>2461</v>
      </c>
      <c r="S21" s="322" t="s">
        <v>2462</v>
      </c>
    </row>
    <row r="22" ht="14.25" customHeight="1" spans="1:18">
      <c r="A22" s="318" t="s">
        <v>241</v>
      </c>
      <c r="B22" s="319" t="s">
        <v>2383</v>
      </c>
      <c r="C22" s="318">
        <v>29830</v>
      </c>
      <c r="D22" s="318">
        <v>27600</v>
      </c>
      <c r="E22" s="318">
        <v>28150</v>
      </c>
      <c r="F22" s="318"/>
      <c r="G22" s="318">
        <v>20080</v>
      </c>
      <c r="K22" s="319" t="s">
        <v>2463</v>
      </c>
      <c r="L22" s="318" t="s">
        <v>2464</v>
      </c>
      <c r="M22" s="318" t="s">
        <v>2465</v>
      </c>
      <c r="N22" s="318" t="s">
        <v>2466</v>
      </c>
      <c r="O22" s="318" t="s">
        <v>2467</v>
      </c>
      <c r="P22" s="318" t="s">
        <v>2468</v>
      </c>
      <c r="Q22" s="318" t="s">
        <v>2469</v>
      </c>
      <c r="R22" s="318" t="s">
        <v>2470</v>
      </c>
    </row>
    <row r="23" ht="14.25" customHeight="1" spans="1:18">
      <c r="A23" s="318" t="s">
        <v>241</v>
      </c>
      <c r="B23" s="319" t="s">
        <v>2393</v>
      </c>
      <c r="C23" s="318">
        <v>27800</v>
      </c>
      <c r="D23" s="318">
        <v>26900</v>
      </c>
      <c r="E23" s="318">
        <v>27170</v>
      </c>
      <c r="F23" s="318"/>
      <c r="G23" s="318">
        <v>19570</v>
      </c>
      <c r="K23" s="319" t="s">
        <v>2471</v>
      </c>
      <c r="L23" s="318" t="s">
        <v>2472</v>
      </c>
      <c r="M23" s="318" t="s">
        <v>2473</v>
      </c>
      <c r="N23" s="318" t="s">
        <v>2474</v>
      </c>
      <c r="O23" s="318" t="s">
        <v>2475</v>
      </c>
      <c r="P23" s="318" t="s">
        <v>2476</v>
      </c>
      <c r="Q23" s="318" t="s">
        <v>2477</v>
      </c>
      <c r="R23" s="318" t="s">
        <v>2478</v>
      </c>
    </row>
    <row r="24" ht="14.25" customHeight="1" spans="1:18">
      <c r="A24" s="318" t="s">
        <v>241</v>
      </c>
      <c r="B24" s="319" t="s">
        <v>2403</v>
      </c>
      <c r="C24" s="318">
        <v>27930</v>
      </c>
      <c r="D24" s="318">
        <v>32260</v>
      </c>
      <c r="E24" s="318">
        <v>32120</v>
      </c>
      <c r="F24" s="318"/>
      <c r="G24" s="318">
        <v>23470</v>
      </c>
      <c r="K24" s="319" t="s">
        <v>2479</v>
      </c>
      <c r="L24" s="318" t="s">
        <v>2480</v>
      </c>
      <c r="M24" s="318" t="s">
        <v>2481</v>
      </c>
      <c r="N24" s="318" t="s">
        <v>2482</v>
      </c>
      <c r="O24" s="318" t="s">
        <v>2483</v>
      </c>
      <c r="P24" s="318" t="s">
        <v>2484</v>
      </c>
      <c r="Q24" s="332" t="s">
        <v>2485</v>
      </c>
      <c r="R24" s="318" t="s">
        <v>2486</v>
      </c>
    </row>
    <row r="25" ht="14.25" customHeight="1" spans="1:18">
      <c r="A25" s="318" t="s">
        <v>241</v>
      </c>
      <c r="B25" s="319" t="s">
        <v>2413</v>
      </c>
      <c r="C25" s="318">
        <v>32230</v>
      </c>
      <c r="D25" s="318">
        <v>29640</v>
      </c>
      <c r="E25" s="318">
        <v>29510</v>
      </c>
      <c r="F25" s="318"/>
      <c r="G25" s="318">
        <v>21560</v>
      </c>
      <c r="K25" s="319" t="s">
        <v>2487</v>
      </c>
      <c r="L25" s="318" t="s">
        <v>2488</v>
      </c>
      <c r="M25" s="318" t="s">
        <v>2489</v>
      </c>
      <c r="N25" s="318" t="s">
        <v>2490</v>
      </c>
      <c r="O25" s="318" t="s">
        <v>2491</v>
      </c>
      <c r="P25" s="318" t="s">
        <v>2492</v>
      </c>
      <c r="Q25" s="332" t="s">
        <v>2493</v>
      </c>
      <c r="R25" s="318" t="s">
        <v>2494</v>
      </c>
    </row>
    <row r="26" ht="14.25" customHeight="1" spans="1:18">
      <c r="A26" s="318" t="s">
        <v>241</v>
      </c>
      <c r="B26" s="319" t="s">
        <v>2423</v>
      </c>
      <c r="C26" s="318">
        <v>31690</v>
      </c>
      <c r="D26" s="318">
        <v>27650</v>
      </c>
      <c r="E26" s="318">
        <v>28200</v>
      </c>
      <c r="F26" s="318"/>
      <c r="G26" s="318">
        <v>20110</v>
      </c>
      <c r="K26" s="321" t="s">
        <v>2495</v>
      </c>
      <c r="L26" s="318" t="s">
        <v>2496</v>
      </c>
      <c r="M26" s="318" t="s">
        <v>2497</v>
      </c>
      <c r="N26" s="318" t="s">
        <v>2498</v>
      </c>
      <c r="O26" s="318" t="s">
        <v>2499</v>
      </c>
      <c r="P26" s="318" t="s">
        <v>2500</v>
      </c>
      <c r="Q26" s="332" t="s">
        <v>2501</v>
      </c>
      <c r="R26" s="318" t="s">
        <v>2502</v>
      </c>
    </row>
    <row r="27" ht="14.25" customHeight="1" spans="1:18">
      <c r="A27" s="318" t="s">
        <v>241</v>
      </c>
      <c r="B27" s="319" t="s">
        <v>2433</v>
      </c>
      <c r="C27" s="318">
        <v>29610</v>
      </c>
      <c r="D27" s="318">
        <v>27770</v>
      </c>
      <c r="E27" s="318">
        <v>28300</v>
      </c>
      <c r="F27" s="318"/>
      <c r="G27" s="318">
        <v>20210</v>
      </c>
      <c r="L27" s="318" t="s">
        <v>2503</v>
      </c>
      <c r="M27" s="318" t="s">
        <v>2504</v>
      </c>
      <c r="N27" s="318" t="s">
        <v>2505</v>
      </c>
      <c r="O27" s="318" t="s">
        <v>2506</v>
      </c>
      <c r="P27" s="318" t="s">
        <v>524</v>
      </c>
      <c r="Q27" s="318" t="s">
        <v>2507</v>
      </c>
      <c r="R27" s="318" t="s">
        <v>2508</v>
      </c>
    </row>
    <row r="28" ht="14.25" customHeight="1" spans="1:18">
      <c r="A28" s="318" t="s">
        <v>241</v>
      </c>
      <c r="B28" s="319" t="s">
        <v>2443</v>
      </c>
      <c r="C28" s="318"/>
      <c r="D28" s="318">
        <v>31520</v>
      </c>
      <c r="E28" s="318">
        <v>31410</v>
      </c>
      <c r="F28" s="318"/>
      <c r="G28" s="318">
        <v>22940</v>
      </c>
      <c r="L28" s="318" t="s">
        <v>2509</v>
      </c>
      <c r="M28" s="318" t="s">
        <v>2510</v>
      </c>
      <c r="N28" s="318" t="s">
        <v>2511</v>
      </c>
      <c r="O28" s="318" t="s">
        <v>2512</v>
      </c>
      <c r="P28" s="318" t="s">
        <v>2513</v>
      </c>
      <c r="Q28" s="318" t="s">
        <v>2514</v>
      </c>
      <c r="R28" s="318" t="s">
        <v>2515</v>
      </c>
    </row>
    <row r="29" ht="14.25" customHeight="1" spans="1:18">
      <c r="A29" s="320" t="s">
        <v>241</v>
      </c>
      <c r="B29" s="323" t="s">
        <v>2453</v>
      </c>
      <c r="C29" s="324"/>
      <c r="D29" s="324">
        <v>29460</v>
      </c>
      <c r="E29" s="324">
        <v>28640</v>
      </c>
      <c r="F29" s="324"/>
      <c r="G29" s="324">
        <v>21430</v>
      </c>
      <c r="L29" s="318" t="s">
        <v>2516</v>
      </c>
      <c r="M29" s="318" t="s">
        <v>2517</v>
      </c>
      <c r="N29" s="318" t="s">
        <v>2518</v>
      </c>
      <c r="O29" s="318" t="s">
        <v>2519</v>
      </c>
      <c r="P29" s="318" t="s">
        <v>2520</v>
      </c>
      <c r="Q29" s="318" t="s">
        <v>2521</v>
      </c>
      <c r="R29" s="318" t="s">
        <v>2522</v>
      </c>
    </row>
    <row r="30" ht="14.25" customHeight="1" spans="1:18">
      <c r="A30" s="316" t="s">
        <v>251</v>
      </c>
      <c r="B30" s="317" t="s">
        <v>2250</v>
      </c>
      <c r="C30" s="317">
        <v>26890</v>
      </c>
      <c r="D30" s="317">
        <v>26770</v>
      </c>
      <c r="E30" s="317">
        <v>25700</v>
      </c>
      <c r="F30" s="317">
        <v>8180</v>
      </c>
      <c r="G30" s="325">
        <v>18740</v>
      </c>
      <c r="L30" s="318" t="s">
        <v>2523</v>
      </c>
      <c r="M30" s="318" t="s">
        <v>2524</v>
      </c>
      <c r="N30" s="318" t="s">
        <v>2525</v>
      </c>
      <c r="O30" s="318" t="s">
        <v>2526</v>
      </c>
      <c r="P30" s="318" t="s">
        <v>2527</v>
      </c>
      <c r="Q30" s="318" t="s">
        <v>2528</v>
      </c>
      <c r="R30" s="318" t="s">
        <v>2529</v>
      </c>
    </row>
    <row r="31" ht="14.25" customHeight="1" spans="1:18">
      <c r="A31" s="318" t="s">
        <v>251</v>
      </c>
      <c r="B31" s="319" t="s">
        <v>2263</v>
      </c>
      <c r="C31" s="318">
        <v>24550</v>
      </c>
      <c r="D31" s="318">
        <v>23990</v>
      </c>
      <c r="E31" s="318">
        <v>22930</v>
      </c>
      <c r="F31" s="318">
        <v>7470</v>
      </c>
      <c r="G31" s="326">
        <v>16790</v>
      </c>
      <c r="L31" s="318" t="s">
        <v>2530</v>
      </c>
      <c r="M31" s="318" t="s">
        <v>2531</v>
      </c>
      <c r="N31" s="318" t="s">
        <v>2532</v>
      </c>
      <c r="O31" s="318" t="s">
        <v>2533</v>
      </c>
      <c r="P31" s="318" t="s">
        <v>2534</v>
      </c>
      <c r="Q31" s="318" t="s">
        <v>2535</v>
      </c>
      <c r="R31" s="318" t="s">
        <v>2536</v>
      </c>
    </row>
    <row r="32" ht="14.25" customHeight="1" spans="1:18">
      <c r="A32" s="318" t="s">
        <v>251</v>
      </c>
      <c r="B32" s="319" t="s">
        <v>2277</v>
      </c>
      <c r="C32" s="318">
        <v>27210</v>
      </c>
      <c r="D32" s="318">
        <v>23240</v>
      </c>
      <c r="E32" s="318">
        <v>23260</v>
      </c>
      <c r="F32" s="318">
        <v>7130</v>
      </c>
      <c r="G32" s="326">
        <v>16270</v>
      </c>
      <c r="L32" s="318" t="s">
        <v>2537</v>
      </c>
      <c r="M32" s="318" t="s">
        <v>2538</v>
      </c>
      <c r="N32" s="318" t="s">
        <v>2539</v>
      </c>
      <c r="O32" s="318" t="s">
        <v>2540</v>
      </c>
      <c r="P32" s="318" t="s">
        <v>2541</v>
      </c>
      <c r="Q32" s="318" t="s">
        <v>2542</v>
      </c>
      <c r="R32" s="322" t="s">
        <v>2543</v>
      </c>
    </row>
    <row r="33" ht="14.25" customHeight="1" spans="1:17">
      <c r="A33" s="318" t="s">
        <v>251</v>
      </c>
      <c r="B33" s="319" t="s">
        <v>2289</v>
      </c>
      <c r="C33" s="318">
        <v>27300</v>
      </c>
      <c r="D33" s="318">
        <v>22980</v>
      </c>
      <c r="E33" s="318">
        <v>24260</v>
      </c>
      <c r="F33" s="318">
        <v>5860</v>
      </c>
      <c r="G33" s="326">
        <v>16090</v>
      </c>
      <c r="L33" s="322" t="s">
        <v>2544</v>
      </c>
      <c r="M33" s="318" t="s">
        <v>2545</v>
      </c>
      <c r="N33" s="318" t="s">
        <v>2546</v>
      </c>
      <c r="O33" s="318" t="s">
        <v>2547</v>
      </c>
      <c r="P33" s="318" t="s">
        <v>2548</v>
      </c>
      <c r="Q33" s="318" t="s">
        <v>2549</v>
      </c>
    </row>
    <row r="34" ht="14.25" customHeight="1" spans="1:17">
      <c r="A34" s="318" t="s">
        <v>251</v>
      </c>
      <c r="B34" s="319" t="s">
        <v>2301</v>
      </c>
      <c r="C34" s="318">
        <v>23090</v>
      </c>
      <c r="D34" s="318">
        <v>23390</v>
      </c>
      <c r="E34" s="318">
        <v>23510</v>
      </c>
      <c r="F34" s="318">
        <v>6700</v>
      </c>
      <c r="G34" s="326">
        <v>16370</v>
      </c>
      <c r="M34" s="318" t="s">
        <v>2550</v>
      </c>
      <c r="N34" s="318" t="s">
        <v>2551</v>
      </c>
      <c r="O34" s="318" t="s">
        <v>2552</v>
      </c>
      <c r="P34" s="318" t="s">
        <v>2553</v>
      </c>
      <c r="Q34" s="318" t="s">
        <v>2554</v>
      </c>
    </row>
    <row r="35" ht="14.25" customHeight="1" spans="1:17">
      <c r="A35" s="318" t="s">
        <v>251</v>
      </c>
      <c r="B35" s="319" t="s">
        <v>2312</v>
      </c>
      <c r="C35" s="318">
        <v>27270</v>
      </c>
      <c r="D35" s="318">
        <v>24270</v>
      </c>
      <c r="E35" s="318">
        <v>24950</v>
      </c>
      <c r="F35" s="318">
        <v>6600</v>
      </c>
      <c r="G35" s="326">
        <v>16990</v>
      </c>
      <c r="M35" s="318" t="s">
        <v>2555</v>
      </c>
      <c r="N35" s="318" t="s">
        <v>2556</v>
      </c>
      <c r="O35" s="318" t="s">
        <v>2557</v>
      </c>
      <c r="P35" s="318" t="s">
        <v>2558</v>
      </c>
      <c r="Q35" s="318" t="s">
        <v>2559</v>
      </c>
    </row>
    <row r="36" ht="14.25" customHeight="1" spans="1:17">
      <c r="A36" s="318" t="s">
        <v>251</v>
      </c>
      <c r="B36" s="319" t="s">
        <v>2323</v>
      </c>
      <c r="C36" s="318">
        <v>23490</v>
      </c>
      <c r="D36" s="318">
        <v>23020</v>
      </c>
      <c r="E36" s="318">
        <v>25230</v>
      </c>
      <c r="F36" s="318">
        <v>6780</v>
      </c>
      <c r="G36" s="326">
        <v>16120</v>
      </c>
      <c r="M36" s="318" t="s">
        <v>2560</v>
      </c>
      <c r="N36" s="318" t="s">
        <v>2561</v>
      </c>
      <c r="O36" s="318" t="s">
        <v>2562</v>
      </c>
      <c r="P36" s="318" t="s">
        <v>2563</v>
      </c>
      <c r="Q36" s="318" t="s">
        <v>2564</v>
      </c>
    </row>
    <row r="37" ht="14.25" customHeight="1" spans="1:17">
      <c r="A37" s="318" t="s">
        <v>251</v>
      </c>
      <c r="B37" s="319" t="s">
        <v>2334</v>
      </c>
      <c r="C37" s="318">
        <v>24380</v>
      </c>
      <c r="D37" s="318">
        <v>22240</v>
      </c>
      <c r="E37" s="318">
        <v>25980</v>
      </c>
      <c r="F37" s="318">
        <v>8160</v>
      </c>
      <c r="G37" s="326">
        <v>15570</v>
      </c>
      <c r="M37" s="318" t="s">
        <v>2565</v>
      </c>
      <c r="N37" s="318" t="s">
        <v>2566</v>
      </c>
      <c r="O37" s="318" t="s">
        <v>2567</v>
      </c>
      <c r="P37" s="318" t="s">
        <v>2568</v>
      </c>
      <c r="Q37" s="318" t="s">
        <v>2569</v>
      </c>
    </row>
    <row r="38" ht="14.25" customHeight="1" spans="1:17">
      <c r="A38" s="318" t="s">
        <v>251</v>
      </c>
      <c r="B38" s="319" t="s">
        <v>2344</v>
      </c>
      <c r="C38" s="318">
        <v>23120</v>
      </c>
      <c r="D38" s="318">
        <v>24630</v>
      </c>
      <c r="E38" s="318">
        <v>25030</v>
      </c>
      <c r="F38" s="318">
        <v>7710</v>
      </c>
      <c r="G38" s="326">
        <v>17240</v>
      </c>
      <c r="M38" s="318" t="s">
        <v>2570</v>
      </c>
      <c r="N38" s="318" t="s">
        <v>2571</v>
      </c>
      <c r="O38" s="318" t="s">
        <v>2572</v>
      </c>
      <c r="P38" s="318" t="s">
        <v>2573</v>
      </c>
      <c r="Q38" s="318" t="s">
        <v>2574</v>
      </c>
    </row>
    <row r="39" ht="14.25" customHeight="1" spans="1:17">
      <c r="A39" s="318" t="s">
        <v>251</v>
      </c>
      <c r="B39" s="319" t="s">
        <v>2354</v>
      </c>
      <c r="C39" s="318">
        <v>22330</v>
      </c>
      <c r="D39" s="318">
        <v>21140</v>
      </c>
      <c r="E39" s="318">
        <v>23970</v>
      </c>
      <c r="F39" s="318">
        <v>7940</v>
      </c>
      <c r="G39" s="326">
        <v>14790</v>
      </c>
      <c r="M39" s="318" t="s">
        <v>2575</v>
      </c>
      <c r="N39" s="318" t="s">
        <v>2576</v>
      </c>
      <c r="O39" s="318" t="s">
        <v>2577</v>
      </c>
      <c r="P39" s="318" t="s">
        <v>2578</v>
      </c>
      <c r="Q39" s="318" t="s">
        <v>2579</v>
      </c>
    </row>
    <row r="40" ht="14.25" customHeight="1" spans="1:17">
      <c r="A40" s="318" t="s">
        <v>251</v>
      </c>
      <c r="B40" s="319" t="s">
        <v>2364</v>
      </c>
      <c r="C40" s="318">
        <v>24740</v>
      </c>
      <c r="D40" s="318">
        <v>24690</v>
      </c>
      <c r="E40" s="318">
        <v>22610</v>
      </c>
      <c r="F40" s="318"/>
      <c r="G40" s="326">
        <v>17280</v>
      </c>
      <c r="M40" s="318" t="s">
        <v>2580</v>
      </c>
      <c r="N40" s="318" t="s">
        <v>2581</v>
      </c>
      <c r="O40" s="318" t="s">
        <v>2582</v>
      </c>
      <c r="P40" s="318" t="s">
        <v>2583</v>
      </c>
      <c r="Q40" s="318" t="s">
        <v>2584</v>
      </c>
    </row>
    <row r="41" ht="14.25" customHeight="1" spans="1:17">
      <c r="A41" s="318" t="s">
        <v>251</v>
      </c>
      <c r="B41" s="319" t="s">
        <v>2374</v>
      </c>
      <c r="C41" s="318">
        <v>21220</v>
      </c>
      <c r="D41" s="318">
        <v>21120</v>
      </c>
      <c r="E41" s="318">
        <v>22590</v>
      </c>
      <c r="F41" s="318"/>
      <c r="G41" s="326">
        <v>14780</v>
      </c>
      <c r="M41" s="322" t="s">
        <v>2585</v>
      </c>
      <c r="N41" s="318" t="s">
        <v>2586</v>
      </c>
      <c r="O41" s="318" t="s">
        <v>2587</v>
      </c>
      <c r="P41" s="318" t="s">
        <v>2588</v>
      </c>
      <c r="Q41" s="318" t="s">
        <v>2589</v>
      </c>
    </row>
    <row r="42" ht="14.25" customHeight="1" spans="1:17">
      <c r="A42" s="318" t="s">
        <v>251</v>
      </c>
      <c r="B42" s="319" t="s">
        <v>2384</v>
      </c>
      <c r="C42" s="318">
        <v>24800</v>
      </c>
      <c r="D42" s="318">
        <v>22280</v>
      </c>
      <c r="E42" s="318">
        <v>24350</v>
      </c>
      <c r="F42" s="318"/>
      <c r="G42" s="326">
        <v>15590</v>
      </c>
      <c r="N42" s="318" t="s">
        <v>2590</v>
      </c>
      <c r="O42" s="318" t="s">
        <v>2591</v>
      </c>
      <c r="P42" s="318" t="s">
        <v>2592</v>
      </c>
      <c r="Q42" s="318" t="s">
        <v>2593</v>
      </c>
    </row>
    <row r="43" ht="14.25" customHeight="1" spans="1:17">
      <c r="A43" s="318" t="s">
        <v>251</v>
      </c>
      <c r="B43" s="319" t="s">
        <v>2394</v>
      </c>
      <c r="C43" s="318">
        <v>21210</v>
      </c>
      <c r="D43" s="318">
        <v>21160</v>
      </c>
      <c r="E43" s="318">
        <v>22650</v>
      </c>
      <c r="F43" s="318"/>
      <c r="G43" s="326">
        <v>14800</v>
      </c>
      <c r="N43" s="318" t="s">
        <v>2594</v>
      </c>
      <c r="O43" s="318" t="s">
        <v>2595</v>
      </c>
      <c r="P43" s="318" t="s">
        <v>2596</v>
      </c>
      <c r="Q43" s="318" t="s">
        <v>2597</v>
      </c>
    </row>
    <row r="44" ht="14.25" customHeight="1" spans="1:17">
      <c r="A44" s="318" t="s">
        <v>251</v>
      </c>
      <c r="B44" s="319" t="s">
        <v>2404</v>
      </c>
      <c r="C44" s="318">
        <v>22370</v>
      </c>
      <c r="D44" s="318">
        <v>23140</v>
      </c>
      <c r="E44" s="318">
        <v>25090</v>
      </c>
      <c r="F44" s="318"/>
      <c r="G44" s="326">
        <v>16190</v>
      </c>
      <c r="N44" s="318" t="s">
        <v>2598</v>
      </c>
      <c r="O44" s="318" t="s">
        <v>2599</v>
      </c>
      <c r="P44" s="322" t="s">
        <v>2600</v>
      </c>
      <c r="Q44" s="318" t="s">
        <v>2601</v>
      </c>
    </row>
    <row r="45" ht="14.25" customHeight="1" spans="1:17">
      <c r="A45" s="318" t="s">
        <v>251</v>
      </c>
      <c r="B45" s="319" t="s">
        <v>2414</v>
      </c>
      <c r="C45" s="318">
        <v>21240</v>
      </c>
      <c r="D45" s="318">
        <v>27050</v>
      </c>
      <c r="E45" s="318">
        <v>28000</v>
      </c>
      <c r="F45" s="318"/>
      <c r="G45" s="326">
        <v>18940</v>
      </c>
      <c r="N45" s="318" t="s">
        <v>2602</v>
      </c>
      <c r="O45" s="322" t="s">
        <v>2603</v>
      </c>
      <c r="Q45" s="318" t="s">
        <v>2604</v>
      </c>
    </row>
    <row r="46" ht="14.25" customHeight="1" spans="1:17">
      <c r="A46" s="318" t="s">
        <v>251</v>
      </c>
      <c r="B46" s="319" t="s">
        <v>2424</v>
      </c>
      <c r="C46" s="318">
        <v>23240</v>
      </c>
      <c r="D46" s="318">
        <v>23000</v>
      </c>
      <c r="E46" s="318">
        <v>24980</v>
      </c>
      <c r="F46" s="318"/>
      <c r="G46" s="326">
        <v>16100</v>
      </c>
      <c r="N46" s="318" t="s">
        <v>2605</v>
      </c>
      <c r="Q46" s="318" t="s">
        <v>2606</v>
      </c>
    </row>
    <row r="47" ht="14.25" customHeight="1" spans="1:17">
      <c r="A47" s="318" t="s">
        <v>251</v>
      </c>
      <c r="B47" s="319" t="s">
        <v>2434</v>
      </c>
      <c r="C47" s="318">
        <v>27150</v>
      </c>
      <c r="D47" s="318">
        <v>23310</v>
      </c>
      <c r="E47" s="318">
        <v>25150</v>
      </c>
      <c r="F47" s="318"/>
      <c r="G47" s="326">
        <v>16310</v>
      </c>
      <c r="N47" s="318" t="s">
        <v>2607</v>
      </c>
      <c r="Q47" s="318" t="s">
        <v>2608</v>
      </c>
    </row>
    <row r="48" ht="14.25" customHeight="1" spans="1:17">
      <c r="A48" s="318" t="s">
        <v>251</v>
      </c>
      <c r="B48" s="319" t="s">
        <v>2444</v>
      </c>
      <c r="C48" s="318">
        <v>23100</v>
      </c>
      <c r="D48" s="318">
        <v>21110</v>
      </c>
      <c r="E48" s="318">
        <v>23080</v>
      </c>
      <c r="F48" s="318"/>
      <c r="G48" s="326">
        <v>14780</v>
      </c>
      <c r="N48" s="318" t="s">
        <v>2609</v>
      </c>
      <c r="Q48" s="318" t="s">
        <v>2610</v>
      </c>
    </row>
    <row r="49" ht="14.25" customHeight="1" spans="1:17">
      <c r="A49" s="318" t="s">
        <v>251</v>
      </c>
      <c r="B49" s="319" t="s">
        <v>2454</v>
      </c>
      <c r="C49" s="318">
        <v>23400</v>
      </c>
      <c r="D49" s="318">
        <v>22920</v>
      </c>
      <c r="E49" s="318">
        <v>24900</v>
      </c>
      <c r="F49" s="318"/>
      <c r="G49" s="326">
        <v>16040</v>
      </c>
      <c r="N49" s="318" t="s">
        <v>2611</v>
      </c>
      <c r="Q49" s="318" t="s">
        <v>2612</v>
      </c>
    </row>
    <row r="50" ht="14.25" customHeight="1" spans="1:17">
      <c r="A50" s="318" t="s">
        <v>251</v>
      </c>
      <c r="B50" s="319" t="s">
        <v>2463</v>
      </c>
      <c r="C50" s="318">
        <v>21200</v>
      </c>
      <c r="D50" s="318">
        <v>26540</v>
      </c>
      <c r="E50" s="318">
        <v>23200</v>
      </c>
      <c r="F50" s="318"/>
      <c r="G50" s="326">
        <v>18580</v>
      </c>
      <c r="N50" s="318" t="s">
        <v>2613</v>
      </c>
      <c r="Q50" s="319" t="s">
        <v>2614</v>
      </c>
    </row>
    <row r="51" ht="14.25" customHeight="1" spans="1:17">
      <c r="A51" s="318" t="s">
        <v>251</v>
      </c>
      <c r="B51" s="319" t="s">
        <v>2471</v>
      </c>
      <c r="C51" s="318">
        <v>23000</v>
      </c>
      <c r="D51" s="318">
        <v>23460</v>
      </c>
      <c r="E51" s="318">
        <v>25290</v>
      </c>
      <c r="F51" s="318"/>
      <c r="G51" s="326">
        <v>16420</v>
      </c>
      <c r="N51" s="318" t="s">
        <v>2615</v>
      </c>
      <c r="Q51" s="322" t="s">
        <v>2616</v>
      </c>
    </row>
    <row r="52" ht="14.25" customHeight="1" spans="1:14">
      <c r="A52" s="318" t="s">
        <v>251</v>
      </c>
      <c r="B52" s="319" t="s">
        <v>2479</v>
      </c>
      <c r="C52" s="318">
        <v>26660</v>
      </c>
      <c r="D52" s="318">
        <v>22350</v>
      </c>
      <c r="E52" s="318">
        <v>22920</v>
      </c>
      <c r="F52" s="318"/>
      <c r="G52" s="326">
        <v>15640</v>
      </c>
      <c r="N52" s="318" t="s">
        <v>2617</v>
      </c>
    </row>
    <row r="53" ht="14.25" customHeight="1" spans="1:14">
      <c r="A53" s="318" t="s">
        <v>251</v>
      </c>
      <c r="B53" s="319" t="s">
        <v>2487</v>
      </c>
      <c r="C53" s="318">
        <v>23580</v>
      </c>
      <c r="D53" s="318"/>
      <c r="E53" s="318">
        <v>24280</v>
      </c>
      <c r="F53" s="318"/>
      <c r="G53" s="326"/>
      <c r="N53" s="318" t="s">
        <v>2618</v>
      </c>
    </row>
    <row r="54" ht="14.25" customHeight="1" spans="1:14">
      <c r="A54" s="327" t="s">
        <v>251</v>
      </c>
      <c r="B54" s="321" t="s">
        <v>2495</v>
      </c>
      <c r="C54" s="322">
        <v>22460</v>
      </c>
      <c r="D54" s="322"/>
      <c r="E54" s="322"/>
      <c r="F54" s="322"/>
      <c r="G54" s="328"/>
      <c r="N54" s="318" t="s">
        <v>2619</v>
      </c>
    </row>
    <row r="55" ht="14.25" customHeight="1" spans="1:14">
      <c r="A55" s="316" t="s">
        <v>259</v>
      </c>
      <c r="B55" s="317" t="s">
        <v>2251</v>
      </c>
      <c r="C55" s="318">
        <v>21970</v>
      </c>
      <c r="D55" s="318">
        <v>20370</v>
      </c>
      <c r="E55" s="318">
        <v>20180</v>
      </c>
      <c r="F55" s="318">
        <v>5730</v>
      </c>
      <c r="G55" s="318">
        <v>13820</v>
      </c>
      <c r="N55" s="318" t="s">
        <v>2620</v>
      </c>
    </row>
    <row r="56" ht="14.25" customHeight="1" spans="1:14">
      <c r="A56" s="318" t="s">
        <v>259</v>
      </c>
      <c r="B56" s="318" t="s">
        <v>2264</v>
      </c>
      <c r="C56" s="318">
        <v>20470</v>
      </c>
      <c r="D56" s="318">
        <v>20700</v>
      </c>
      <c r="E56" s="318">
        <v>20380</v>
      </c>
      <c r="F56" s="318">
        <v>4760</v>
      </c>
      <c r="G56" s="318">
        <v>14050</v>
      </c>
      <c r="N56" s="318" t="s">
        <v>2621</v>
      </c>
    </row>
    <row r="57" ht="14.25" customHeight="1" spans="1:14">
      <c r="A57" s="318" t="s">
        <v>259</v>
      </c>
      <c r="B57" s="318" t="s">
        <v>2278</v>
      </c>
      <c r="C57" s="318">
        <v>20790</v>
      </c>
      <c r="D57" s="318">
        <v>21370</v>
      </c>
      <c r="E57" s="318">
        <v>20890</v>
      </c>
      <c r="F57" s="318">
        <v>4910</v>
      </c>
      <c r="G57" s="318">
        <v>14510</v>
      </c>
      <c r="N57" s="318" t="s">
        <v>2622</v>
      </c>
    </row>
    <row r="58" ht="14.25" customHeight="1" spans="1:14">
      <c r="A58" s="318" t="s">
        <v>259</v>
      </c>
      <c r="B58" s="318" t="s">
        <v>2290</v>
      </c>
      <c r="C58" s="318">
        <v>21460</v>
      </c>
      <c r="D58" s="318">
        <v>20920</v>
      </c>
      <c r="E58" s="318">
        <v>23410</v>
      </c>
      <c r="F58" s="318">
        <v>5100</v>
      </c>
      <c r="G58" s="318">
        <v>14200</v>
      </c>
      <c r="N58" s="318" t="s">
        <v>2623</v>
      </c>
    </row>
    <row r="59" ht="14.25" customHeight="1" spans="1:14">
      <c r="A59" s="318" t="s">
        <v>259</v>
      </c>
      <c r="B59" s="318" t="s">
        <v>2302</v>
      </c>
      <c r="C59" s="318">
        <v>21000</v>
      </c>
      <c r="D59" s="318">
        <v>21550</v>
      </c>
      <c r="E59" s="318">
        <v>21150</v>
      </c>
      <c r="F59" s="318">
        <v>5250</v>
      </c>
      <c r="G59" s="318">
        <v>14630</v>
      </c>
      <c r="N59" s="318" t="s">
        <v>2624</v>
      </c>
    </row>
    <row r="60" ht="14.25" customHeight="1" spans="1:14">
      <c r="A60" s="318" t="s">
        <v>259</v>
      </c>
      <c r="B60" s="318" t="s">
        <v>2313</v>
      </c>
      <c r="C60" s="318">
        <v>21640</v>
      </c>
      <c r="D60" s="318">
        <v>21260</v>
      </c>
      <c r="E60" s="318">
        <v>24040</v>
      </c>
      <c r="F60" s="318">
        <v>4470</v>
      </c>
      <c r="G60" s="318">
        <v>14430</v>
      </c>
      <c r="N60" s="318" t="s">
        <v>2625</v>
      </c>
    </row>
    <row r="61" ht="14.25" customHeight="1" spans="1:14">
      <c r="A61" s="318" t="s">
        <v>259</v>
      </c>
      <c r="B61" s="318" t="s">
        <v>2324</v>
      </c>
      <c r="C61" s="318">
        <v>21330</v>
      </c>
      <c r="D61" s="318">
        <v>18640</v>
      </c>
      <c r="E61" s="318">
        <v>21190</v>
      </c>
      <c r="F61" s="318">
        <v>4180</v>
      </c>
      <c r="G61" s="318">
        <v>12650</v>
      </c>
      <c r="N61" s="318" t="s">
        <v>2626</v>
      </c>
    </row>
    <row r="62" ht="14.25" customHeight="1" spans="1:14">
      <c r="A62" s="318" t="s">
        <v>259</v>
      </c>
      <c r="B62" s="318" t="s">
        <v>2335</v>
      </c>
      <c r="C62" s="318">
        <v>18710</v>
      </c>
      <c r="D62" s="318">
        <v>19400</v>
      </c>
      <c r="E62" s="318">
        <v>23750</v>
      </c>
      <c r="F62" s="318">
        <v>4860</v>
      </c>
      <c r="G62" s="318">
        <v>13170</v>
      </c>
      <c r="N62" s="318" t="s">
        <v>2627</v>
      </c>
    </row>
    <row r="63" ht="14.25" customHeight="1" spans="1:14">
      <c r="A63" s="318" t="s">
        <v>259</v>
      </c>
      <c r="B63" s="318" t="s">
        <v>2345</v>
      </c>
      <c r="C63" s="318">
        <v>19480</v>
      </c>
      <c r="D63" s="318">
        <v>16830</v>
      </c>
      <c r="E63" s="318">
        <v>21590</v>
      </c>
      <c r="F63" s="318">
        <v>4560</v>
      </c>
      <c r="G63" s="318">
        <v>11420</v>
      </c>
      <c r="N63" s="318" t="s">
        <v>2628</v>
      </c>
    </row>
    <row r="64" ht="14.25" customHeight="1" spans="1:14">
      <c r="A64" s="318" t="s">
        <v>259</v>
      </c>
      <c r="B64" s="318" t="s">
        <v>2355</v>
      </c>
      <c r="C64" s="318">
        <v>16920</v>
      </c>
      <c r="D64" s="318">
        <v>19190</v>
      </c>
      <c r="E64" s="318">
        <v>22200</v>
      </c>
      <c r="F64" s="318">
        <v>4390</v>
      </c>
      <c r="G64" s="318">
        <v>13030</v>
      </c>
      <c r="N64" s="322" t="s">
        <v>2629</v>
      </c>
    </row>
    <row r="65" s="303" customFormat="1" ht="14.25" customHeight="1" spans="1:7">
      <c r="A65" s="318" t="s">
        <v>259</v>
      </c>
      <c r="B65" s="318" t="s">
        <v>2365</v>
      </c>
      <c r="C65" s="318">
        <v>19290</v>
      </c>
      <c r="D65" s="318">
        <v>17020</v>
      </c>
      <c r="E65" s="318">
        <v>19880</v>
      </c>
      <c r="F65" s="318">
        <v>4070</v>
      </c>
      <c r="G65" s="318">
        <v>11550</v>
      </c>
    </row>
    <row r="66" s="303" customFormat="1" ht="14.25" customHeight="1" spans="1:7">
      <c r="A66" s="318" t="s">
        <v>259</v>
      </c>
      <c r="B66" s="318" t="s">
        <v>2375</v>
      </c>
      <c r="C66" s="318">
        <v>17090</v>
      </c>
      <c r="D66" s="318">
        <v>18340</v>
      </c>
      <c r="E66" s="318">
        <v>21830</v>
      </c>
      <c r="F66" s="318">
        <v>4690</v>
      </c>
      <c r="G66" s="318">
        <v>12450</v>
      </c>
    </row>
    <row r="67" s="303" customFormat="1" ht="14.25" customHeight="1" spans="1:7">
      <c r="A67" s="318" t="s">
        <v>259</v>
      </c>
      <c r="B67" s="318" t="s">
        <v>2385</v>
      </c>
      <c r="C67" s="318">
        <v>18420</v>
      </c>
      <c r="D67" s="318">
        <v>16360</v>
      </c>
      <c r="E67" s="318">
        <v>20020</v>
      </c>
      <c r="F67" s="318">
        <v>5150</v>
      </c>
      <c r="G67" s="318">
        <v>11110</v>
      </c>
    </row>
    <row r="68" s="303" customFormat="1" ht="14.25" customHeight="1" spans="1:7">
      <c r="A68" s="318" t="s">
        <v>259</v>
      </c>
      <c r="B68" s="318" t="s">
        <v>2395</v>
      </c>
      <c r="C68" s="318">
        <v>16450</v>
      </c>
      <c r="D68" s="318">
        <v>18430</v>
      </c>
      <c r="E68" s="318">
        <v>21010</v>
      </c>
      <c r="F68" s="318">
        <v>4720</v>
      </c>
      <c r="G68" s="318">
        <v>12510</v>
      </c>
    </row>
    <row r="69" s="303" customFormat="1" ht="14.25" customHeight="1" spans="1:7">
      <c r="A69" s="318" t="s">
        <v>259</v>
      </c>
      <c r="B69" s="318" t="s">
        <v>2405</v>
      </c>
      <c r="C69" s="318">
        <v>18510</v>
      </c>
      <c r="D69" s="318">
        <v>16300</v>
      </c>
      <c r="E69" s="318">
        <v>18830</v>
      </c>
      <c r="F69" s="318">
        <v>5400</v>
      </c>
      <c r="G69" s="318">
        <v>11070</v>
      </c>
    </row>
    <row r="70" s="303" customFormat="1" ht="14.25" customHeight="1" spans="1:7">
      <c r="A70" s="318" t="s">
        <v>259</v>
      </c>
      <c r="B70" s="318" t="s">
        <v>2415</v>
      </c>
      <c r="C70" s="318">
        <v>16370</v>
      </c>
      <c r="D70" s="318">
        <v>18620</v>
      </c>
      <c r="E70" s="318">
        <v>21100</v>
      </c>
      <c r="F70" s="318">
        <v>5700</v>
      </c>
      <c r="G70" s="318">
        <v>12640</v>
      </c>
    </row>
    <row r="71" s="303" customFormat="1" ht="14.25" customHeight="1" spans="1:7">
      <c r="A71" s="318" t="s">
        <v>259</v>
      </c>
      <c r="B71" s="318" t="s">
        <v>2425</v>
      </c>
      <c r="C71" s="318">
        <v>18700</v>
      </c>
      <c r="D71" s="318">
        <v>16290</v>
      </c>
      <c r="E71" s="318">
        <v>18760</v>
      </c>
      <c r="F71" s="318">
        <v>4780</v>
      </c>
      <c r="G71" s="318">
        <v>11050</v>
      </c>
    </row>
    <row r="72" s="303" customFormat="1" ht="14.25" customHeight="1" spans="1:7">
      <c r="A72" s="318" t="s">
        <v>259</v>
      </c>
      <c r="B72" s="318" t="s">
        <v>2435</v>
      </c>
      <c r="C72" s="318">
        <v>16340</v>
      </c>
      <c r="D72" s="318">
        <v>17520</v>
      </c>
      <c r="E72" s="318">
        <v>21170</v>
      </c>
      <c r="F72" s="318"/>
      <c r="G72" s="318">
        <v>11900</v>
      </c>
    </row>
    <row r="73" s="303" customFormat="1" ht="14.25" customHeight="1" spans="1:7">
      <c r="A73" s="318" t="s">
        <v>259</v>
      </c>
      <c r="B73" s="318" t="s">
        <v>2445</v>
      </c>
      <c r="C73" s="318">
        <v>17610</v>
      </c>
      <c r="D73" s="318">
        <v>18520</v>
      </c>
      <c r="E73" s="318">
        <v>18720</v>
      </c>
      <c r="F73" s="318"/>
      <c r="G73" s="318">
        <v>12570</v>
      </c>
    </row>
    <row r="74" s="303" customFormat="1" ht="14.25" customHeight="1" spans="1:7">
      <c r="A74" s="318" t="s">
        <v>259</v>
      </c>
      <c r="B74" s="318" t="s">
        <v>2455</v>
      </c>
      <c r="C74" s="318">
        <v>18600</v>
      </c>
      <c r="D74" s="318">
        <v>16480</v>
      </c>
      <c r="E74" s="318">
        <v>20100</v>
      </c>
      <c r="F74" s="318"/>
      <c r="G74" s="318">
        <v>11190</v>
      </c>
    </row>
    <row r="75" s="303" customFormat="1" ht="14.25" customHeight="1" spans="1:7">
      <c r="A75" s="318" t="s">
        <v>259</v>
      </c>
      <c r="B75" s="318" t="s">
        <v>2464</v>
      </c>
      <c r="C75" s="318">
        <v>16570</v>
      </c>
      <c r="D75" s="318">
        <v>17530</v>
      </c>
      <c r="E75" s="318">
        <v>21030</v>
      </c>
      <c r="F75" s="318"/>
      <c r="G75" s="318">
        <v>11900</v>
      </c>
    </row>
    <row r="76" s="303" customFormat="1" ht="14.25" customHeight="1" spans="1:7">
      <c r="A76" s="318" t="s">
        <v>259</v>
      </c>
      <c r="B76" s="318" t="s">
        <v>2472</v>
      </c>
      <c r="C76" s="318">
        <v>17610</v>
      </c>
      <c r="D76" s="318">
        <v>20800</v>
      </c>
      <c r="E76" s="318">
        <v>18920</v>
      </c>
      <c r="F76" s="318"/>
      <c r="G76" s="318">
        <v>14120</v>
      </c>
    </row>
    <row r="77" s="303" customFormat="1" ht="14.25" customHeight="1" spans="1:7">
      <c r="A77" s="318" t="s">
        <v>259</v>
      </c>
      <c r="B77" s="318" t="s">
        <v>2480</v>
      </c>
      <c r="C77" s="318">
        <v>20890</v>
      </c>
      <c r="D77" s="318">
        <v>19740</v>
      </c>
      <c r="E77" s="318">
        <v>20110</v>
      </c>
      <c r="F77" s="318"/>
      <c r="G77" s="318">
        <v>13400</v>
      </c>
    </row>
    <row r="78" s="303" customFormat="1" ht="14.25" customHeight="1" spans="1:7">
      <c r="A78" s="318" t="s">
        <v>259</v>
      </c>
      <c r="B78" s="318" t="s">
        <v>2488</v>
      </c>
      <c r="C78" s="318">
        <v>19820</v>
      </c>
      <c r="D78" s="318">
        <v>19780</v>
      </c>
      <c r="E78" s="318">
        <v>18560</v>
      </c>
      <c r="F78" s="318"/>
      <c r="G78" s="318">
        <v>13430</v>
      </c>
    </row>
    <row r="79" s="303" customFormat="1" ht="14.25" customHeight="1" spans="1:7">
      <c r="A79" s="318" t="s">
        <v>259</v>
      </c>
      <c r="B79" s="318" t="s">
        <v>2496</v>
      </c>
      <c r="C79" s="318">
        <v>21660</v>
      </c>
      <c r="D79" s="318">
        <v>18000</v>
      </c>
      <c r="E79" s="318">
        <v>22570</v>
      </c>
      <c r="F79" s="318"/>
      <c r="G79" s="318">
        <v>12220</v>
      </c>
    </row>
    <row r="80" s="303" customFormat="1" ht="14.25" customHeight="1" spans="1:7">
      <c r="A80" s="318" t="s">
        <v>259</v>
      </c>
      <c r="B80" s="318" t="s">
        <v>2503</v>
      </c>
      <c r="C80" s="318">
        <v>19850</v>
      </c>
      <c r="D80" s="318"/>
      <c r="E80" s="318">
        <v>21700</v>
      </c>
      <c r="F80" s="318"/>
      <c r="G80" s="318"/>
    </row>
    <row r="81" s="303" customFormat="1" ht="14.25" customHeight="1" spans="1:7">
      <c r="A81" s="318" t="s">
        <v>259</v>
      </c>
      <c r="B81" s="318" t="s">
        <v>2509</v>
      </c>
      <c r="C81" s="318">
        <v>18080</v>
      </c>
      <c r="D81" s="318"/>
      <c r="E81" s="318">
        <v>20900</v>
      </c>
      <c r="F81" s="318"/>
      <c r="G81" s="318"/>
    </row>
    <row r="82" s="303" customFormat="1" ht="14.25" customHeight="1" spans="1:7">
      <c r="A82" s="318" t="s">
        <v>259</v>
      </c>
      <c r="B82" s="318" t="s">
        <v>2516</v>
      </c>
      <c r="C82" s="318"/>
      <c r="D82" s="318"/>
      <c r="E82" s="318">
        <v>20840</v>
      </c>
      <c r="F82" s="318"/>
      <c r="G82" s="318"/>
    </row>
    <row r="83" s="303" customFormat="1" ht="14.25" customHeight="1" spans="1:7">
      <c r="A83" s="318" t="s">
        <v>259</v>
      </c>
      <c r="B83" s="318" t="s">
        <v>2523</v>
      </c>
      <c r="C83" s="318"/>
      <c r="D83" s="318"/>
      <c r="E83" s="318"/>
      <c r="F83" s="318">
        <v>4770</v>
      </c>
      <c r="G83" s="318"/>
    </row>
    <row r="84" s="303" customFormat="1" ht="14.25" customHeight="1" spans="1:7">
      <c r="A84" s="318" t="s">
        <v>259</v>
      </c>
      <c r="B84" s="318" t="s">
        <v>2530</v>
      </c>
      <c r="C84" s="318"/>
      <c r="D84" s="318"/>
      <c r="E84" s="318"/>
      <c r="F84" s="318">
        <v>4600</v>
      </c>
      <c r="G84" s="318"/>
    </row>
    <row r="85" s="303" customFormat="1" ht="14.25" customHeight="1" spans="1:7">
      <c r="A85" s="318" t="s">
        <v>259</v>
      </c>
      <c r="B85" s="318" t="s">
        <v>2537</v>
      </c>
      <c r="C85" s="318"/>
      <c r="D85" s="318"/>
      <c r="E85" s="318"/>
      <c r="F85" s="318">
        <v>4680</v>
      </c>
      <c r="G85" s="318"/>
    </row>
    <row r="86" s="303" customFormat="1" ht="14.25" customHeight="1" spans="1:7">
      <c r="A86" s="320" t="s">
        <v>259</v>
      </c>
      <c r="B86" s="323" t="s">
        <v>2544</v>
      </c>
      <c r="C86" s="324">
        <v>16610</v>
      </c>
      <c r="D86" s="324">
        <v>16540</v>
      </c>
      <c r="E86" s="324">
        <v>18850</v>
      </c>
      <c r="F86" s="324"/>
      <c r="G86" s="324">
        <v>11220</v>
      </c>
    </row>
    <row r="87" s="303" customFormat="1" ht="14.25" customHeight="1" spans="1:7">
      <c r="A87" s="316" t="s">
        <v>267</v>
      </c>
      <c r="B87" s="317" t="s">
        <v>2252</v>
      </c>
      <c r="C87" s="317">
        <v>15240</v>
      </c>
      <c r="D87" s="317">
        <v>15170</v>
      </c>
      <c r="E87" s="317">
        <v>18260</v>
      </c>
      <c r="F87" s="317">
        <v>3830</v>
      </c>
      <c r="G87" s="325">
        <v>10020</v>
      </c>
    </row>
    <row r="88" s="303" customFormat="1" ht="14.25" customHeight="1" spans="1:7">
      <c r="A88" s="318" t="s">
        <v>267</v>
      </c>
      <c r="B88" s="318" t="s">
        <v>2265</v>
      </c>
      <c r="C88" s="318">
        <v>17310</v>
      </c>
      <c r="D88" s="318">
        <v>17220</v>
      </c>
      <c r="E88" s="318">
        <v>18610</v>
      </c>
      <c r="F88" s="318">
        <v>3990</v>
      </c>
      <c r="G88" s="326">
        <v>11380</v>
      </c>
    </row>
    <row r="89" s="303" customFormat="1" ht="14.25" customHeight="1" spans="1:7">
      <c r="A89" s="318" t="s">
        <v>267</v>
      </c>
      <c r="B89" s="318" t="s">
        <v>2279</v>
      </c>
      <c r="C89" s="318">
        <v>15600</v>
      </c>
      <c r="D89" s="318">
        <v>15550</v>
      </c>
      <c r="E89" s="318">
        <v>19200</v>
      </c>
      <c r="F89" s="318">
        <v>4110</v>
      </c>
      <c r="G89" s="326">
        <v>10270</v>
      </c>
    </row>
    <row r="90" s="303" customFormat="1" ht="14.25" customHeight="1" spans="1:7">
      <c r="A90" s="318" t="s">
        <v>267</v>
      </c>
      <c r="B90" s="318" t="s">
        <v>2291</v>
      </c>
      <c r="C90" s="318">
        <v>17330</v>
      </c>
      <c r="D90" s="318">
        <v>17240</v>
      </c>
      <c r="E90" s="318">
        <v>18570</v>
      </c>
      <c r="F90" s="318">
        <v>4070</v>
      </c>
      <c r="G90" s="326">
        <v>11390</v>
      </c>
    </row>
    <row r="91" s="303" customFormat="1" ht="14.25" customHeight="1" spans="1:7">
      <c r="A91" s="318" t="s">
        <v>267</v>
      </c>
      <c r="B91" s="318" t="s">
        <v>2303</v>
      </c>
      <c r="C91" s="318">
        <v>16330</v>
      </c>
      <c r="D91" s="318">
        <v>16260</v>
      </c>
      <c r="E91" s="318">
        <v>16800</v>
      </c>
      <c r="F91" s="318">
        <v>3410</v>
      </c>
      <c r="G91" s="326">
        <v>10740</v>
      </c>
    </row>
    <row r="92" s="303" customFormat="1" ht="14.25" customHeight="1" spans="1:7">
      <c r="A92" s="318" t="s">
        <v>267</v>
      </c>
      <c r="B92" s="318" t="s">
        <v>2314</v>
      </c>
      <c r="C92" s="318">
        <v>15570</v>
      </c>
      <c r="D92" s="318">
        <v>15500</v>
      </c>
      <c r="E92" s="318">
        <v>17360</v>
      </c>
      <c r="F92" s="318">
        <v>3510</v>
      </c>
      <c r="G92" s="326">
        <v>10240</v>
      </c>
    </row>
    <row r="93" s="303" customFormat="1" ht="14.25" customHeight="1" spans="1:7">
      <c r="A93" s="318" t="s">
        <v>267</v>
      </c>
      <c r="B93" s="318" t="s">
        <v>2325</v>
      </c>
      <c r="C93" s="318">
        <v>14000</v>
      </c>
      <c r="D93" s="318">
        <v>13930</v>
      </c>
      <c r="E93" s="318">
        <v>18200</v>
      </c>
      <c r="F93" s="318">
        <v>3640</v>
      </c>
      <c r="G93" s="326">
        <v>9210</v>
      </c>
    </row>
    <row r="94" s="303" customFormat="1" ht="14.25" customHeight="1" spans="1:7">
      <c r="A94" s="318" t="s">
        <v>267</v>
      </c>
      <c r="B94" s="318" t="s">
        <v>2336</v>
      </c>
      <c r="C94" s="318">
        <v>14530</v>
      </c>
      <c r="D94" s="318">
        <v>14470</v>
      </c>
      <c r="E94" s="318">
        <v>18240</v>
      </c>
      <c r="F94" s="318">
        <v>3180</v>
      </c>
      <c r="G94" s="326">
        <v>9560</v>
      </c>
    </row>
    <row r="95" s="303" customFormat="1" ht="14.25" customHeight="1" spans="1:7">
      <c r="A95" s="318" t="s">
        <v>267</v>
      </c>
      <c r="B95" s="318" t="s">
        <v>2346</v>
      </c>
      <c r="C95" s="318">
        <v>17330</v>
      </c>
      <c r="D95" s="318">
        <v>17260</v>
      </c>
      <c r="E95" s="318">
        <v>18420</v>
      </c>
      <c r="F95" s="318">
        <v>3060</v>
      </c>
      <c r="G95" s="326">
        <v>11410</v>
      </c>
    </row>
    <row r="96" s="303" customFormat="1" ht="14.25" customHeight="1" spans="1:7">
      <c r="A96" s="318" t="s">
        <v>267</v>
      </c>
      <c r="B96" s="318" t="s">
        <v>2356</v>
      </c>
      <c r="C96" s="318">
        <v>15030</v>
      </c>
      <c r="D96" s="318">
        <v>14970</v>
      </c>
      <c r="E96" s="318">
        <v>17580</v>
      </c>
      <c r="F96" s="318">
        <v>2970</v>
      </c>
      <c r="G96" s="326">
        <v>9890</v>
      </c>
    </row>
    <row r="97" s="303" customFormat="1" ht="14.25" customHeight="1" spans="1:7">
      <c r="A97" s="318" t="s">
        <v>267</v>
      </c>
      <c r="B97" s="318" t="s">
        <v>2366</v>
      </c>
      <c r="C97" s="318">
        <v>17400</v>
      </c>
      <c r="D97" s="318">
        <v>17330</v>
      </c>
      <c r="E97" s="318">
        <v>16430</v>
      </c>
      <c r="F97" s="318">
        <v>2950</v>
      </c>
      <c r="G97" s="326">
        <v>11450</v>
      </c>
    </row>
    <row r="98" s="303" customFormat="1" ht="14.25" customHeight="1" spans="1:7">
      <c r="A98" s="318" t="s">
        <v>267</v>
      </c>
      <c r="B98" s="318" t="s">
        <v>2376</v>
      </c>
      <c r="C98" s="318">
        <v>15200</v>
      </c>
      <c r="D98" s="318">
        <v>15120</v>
      </c>
      <c r="E98" s="318">
        <v>17550</v>
      </c>
      <c r="F98" s="318">
        <v>3080</v>
      </c>
      <c r="G98" s="326">
        <v>9990</v>
      </c>
    </row>
    <row r="99" s="303" customFormat="1" ht="14.25" customHeight="1" spans="1:7">
      <c r="A99" s="318" t="s">
        <v>267</v>
      </c>
      <c r="B99" s="318" t="s">
        <v>2386</v>
      </c>
      <c r="C99" s="318">
        <v>17520</v>
      </c>
      <c r="D99" s="318">
        <v>17430</v>
      </c>
      <c r="E99" s="318">
        <v>16350</v>
      </c>
      <c r="F99" s="318">
        <v>3260</v>
      </c>
      <c r="G99" s="326">
        <v>11510</v>
      </c>
    </row>
    <row r="100" s="303" customFormat="1" ht="14.25" customHeight="1" spans="1:7">
      <c r="A100" s="318" t="s">
        <v>267</v>
      </c>
      <c r="B100" s="318" t="s">
        <v>2396</v>
      </c>
      <c r="C100" s="318">
        <v>15340</v>
      </c>
      <c r="D100" s="318">
        <v>15260</v>
      </c>
      <c r="E100" s="318">
        <v>15930</v>
      </c>
      <c r="F100" s="318">
        <v>2740</v>
      </c>
      <c r="G100" s="326">
        <v>10080</v>
      </c>
    </row>
    <row r="101" s="303" customFormat="1" ht="14.25" customHeight="1" spans="1:7">
      <c r="A101" s="318" t="s">
        <v>267</v>
      </c>
      <c r="B101" s="318" t="s">
        <v>2406</v>
      </c>
      <c r="C101" s="318">
        <v>14620</v>
      </c>
      <c r="D101" s="318">
        <v>14560</v>
      </c>
      <c r="E101" s="318">
        <v>15570</v>
      </c>
      <c r="F101" s="318">
        <v>3500</v>
      </c>
      <c r="G101" s="326">
        <v>9630</v>
      </c>
    </row>
    <row r="102" s="303" customFormat="1" ht="14.25" customHeight="1" spans="1:7">
      <c r="A102" s="318" t="s">
        <v>267</v>
      </c>
      <c r="B102" s="318" t="s">
        <v>2416</v>
      </c>
      <c r="C102" s="318">
        <v>13680</v>
      </c>
      <c r="D102" s="318">
        <v>13610</v>
      </c>
      <c r="E102" s="318">
        <v>15690</v>
      </c>
      <c r="F102" s="318">
        <v>2870</v>
      </c>
      <c r="G102" s="326">
        <v>8990</v>
      </c>
    </row>
    <row r="103" s="303" customFormat="1" ht="14.25" customHeight="1" spans="1:7">
      <c r="A103" s="318" t="s">
        <v>267</v>
      </c>
      <c r="B103" s="318" t="s">
        <v>2426</v>
      </c>
      <c r="C103" s="318">
        <v>14620</v>
      </c>
      <c r="D103" s="318">
        <v>14540</v>
      </c>
      <c r="E103" s="318">
        <v>15240</v>
      </c>
      <c r="F103" s="318">
        <v>2840</v>
      </c>
      <c r="G103" s="326">
        <v>9610</v>
      </c>
    </row>
    <row r="104" s="303" customFormat="1" ht="14.25" customHeight="1" spans="1:7">
      <c r="A104" s="318" t="s">
        <v>267</v>
      </c>
      <c r="B104" s="318" t="s">
        <v>2436</v>
      </c>
      <c r="C104" s="318">
        <v>13610</v>
      </c>
      <c r="D104" s="318">
        <v>13540</v>
      </c>
      <c r="E104" s="318">
        <v>15750</v>
      </c>
      <c r="F104" s="318">
        <v>2770</v>
      </c>
      <c r="G104" s="326">
        <v>8940</v>
      </c>
    </row>
    <row r="105" s="303" customFormat="1" ht="14.25" customHeight="1" spans="1:7">
      <c r="A105" s="318" t="s">
        <v>267</v>
      </c>
      <c r="B105" s="318" t="s">
        <v>2446</v>
      </c>
      <c r="C105" s="318">
        <v>13310</v>
      </c>
      <c r="D105" s="318">
        <v>13240</v>
      </c>
      <c r="E105" s="318">
        <v>16280</v>
      </c>
      <c r="F105" s="318">
        <v>3210</v>
      </c>
      <c r="G105" s="326">
        <v>8750</v>
      </c>
    </row>
    <row r="106" s="303" customFormat="1" ht="14.25" customHeight="1" spans="1:7">
      <c r="A106" s="318" t="s">
        <v>267</v>
      </c>
      <c r="B106" s="318" t="s">
        <v>2456</v>
      </c>
      <c r="C106" s="318">
        <v>13010</v>
      </c>
      <c r="D106" s="318">
        <v>12930</v>
      </c>
      <c r="E106" s="318">
        <v>14960</v>
      </c>
      <c r="F106" s="318">
        <v>3530</v>
      </c>
      <c r="G106" s="326">
        <v>8550</v>
      </c>
    </row>
    <row r="107" s="303" customFormat="1" ht="14.25" customHeight="1" spans="1:7">
      <c r="A107" s="318" t="s">
        <v>267</v>
      </c>
      <c r="B107" s="318" t="s">
        <v>2465</v>
      </c>
      <c r="C107" s="318">
        <v>13070</v>
      </c>
      <c r="D107" s="318">
        <v>13000</v>
      </c>
      <c r="E107" s="318">
        <v>15910</v>
      </c>
      <c r="F107" s="318">
        <v>3990</v>
      </c>
      <c r="G107" s="326">
        <v>8580</v>
      </c>
    </row>
    <row r="108" s="303" customFormat="1" ht="14.25" customHeight="1" spans="1:7">
      <c r="A108" s="318" t="s">
        <v>267</v>
      </c>
      <c r="B108" s="318" t="s">
        <v>2473</v>
      </c>
      <c r="C108" s="318">
        <v>12640</v>
      </c>
      <c r="D108" s="318">
        <v>12580</v>
      </c>
      <c r="E108" s="318">
        <v>15730</v>
      </c>
      <c r="F108" s="318"/>
      <c r="G108" s="326">
        <v>8310</v>
      </c>
    </row>
    <row r="109" s="303" customFormat="1" ht="14.25" customHeight="1" spans="1:7">
      <c r="A109" s="318" t="s">
        <v>267</v>
      </c>
      <c r="B109" s="318" t="s">
        <v>2481</v>
      </c>
      <c r="C109" s="318">
        <v>13130</v>
      </c>
      <c r="D109" s="318">
        <v>13070</v>
      </c>
      <c r="E109" s="318">
        <v>15000</v>
      </c>
      <c r="F109" s="318"/>
      <c r="G109" s="326">
        <v>8630</v>
      </c>
    </row>
    <row r="110" s="303" customFormat="1" ht="14.25" customHeight="1" spans="1:7">
      <c r="A110" s="318" t="s">
        <v>267</v>
      </c>
      <c r="B110" s="318" t="s">
        <v>2489</v>
      </c>
      <c r="C110" s="318">
        <v>13560</v>
      </c>
      <c r="D110" s="318">
        <v>13490</v>
      </c>
      <c r="E110" s="318">
        <v>16300</v>
      </c>
      <c r="F110" s="318"/>
      <c r="G110" s="326">
        <v>8920</v>
      </c>
    </row>
    <row r="111" s="303" customFormat="1" ht="14.25" customHeight="1" spans="1:7">
      <c r="A111" s="318" t="s">
        <v>267</v>
      </c>
      <c r="B111" s="318" t="s">
        <v>2497</v>
      </c>
      <c r="C111" s="318">
        <v>12440</v>
      </c>
      <c r="D111" s="318">
        <v>12380</v>
      </c>
      <c r="E111" s="318">
        <v>17850</v>
      </c>
      <c r="F111" s="318"/>
      <c r="G111" s="326">
        <v>8180</v>
      </c>
    </row>
    <row r="112" s="303" customFormat="1" ht="14.25" customHeight="1" spans="1:7">
      <c r="A112" s="318" t="s">
        <v>267</v>
      </c>
      <c r="B112" s="318" t="s">
        <v>2504</v>
      </c>
      <c r="C112" s="318">
        <v>13260</v>
      </c>
      <c r="D112" s="318">
        <v>13180</v>
      </c>
      <c r="E112" s="318">
        <v>19740</v>
      </c>
      <c r="F112" s="318"/>
      <c r="G112" s="326">
        <v>8710</v>
      </c>
    </row>
    <row r="113" s="303" customFormat="1" ht="14.25" customHeight="1" spans="1:7">
      <c r="A113" s="318" t="s">
        <v>267</v>
      </c>
      <c r="B113" s="318" t="s">
        <v>2510</v>
      </c>
      <c r="C113" s="318">
        <v>15520</v>
      </c>
      <c r="D113" s="318">
        <v>15450</v>
      </c>
      <c r="E113" s="318"/>
      <c r="F113" s="318"/>
      <c r="G113" s="326">
        <v>10210</v>
      </c>
    </row>
    <row r="114" s="303" customFormat="1" ht="14.25" customHeight="1" spans="1:7">
      <c r="A114" s="318" t="s">
        <v>267</v>
      </c>
      <c r="B114" s="318" t="s">
        <v>2517</v>
      </c>
      <c r="C114" s="318">
        <v>13110</v>
      </c>
      <c r="D114" s="318">
        <v>13050</v>
      </c>
      <c r="E114" s="318"/>
      <c r="F114" s="318"/>
      <c r="G114" s="326">
        <v>8620</v>
      </c>
    </row>
    <row r="115" s="303" customFormat="1" ht="14.25" customHeight="1" spans="1:7">
      <c r="A115" s="318" t="s">
        <v>267</v>
      </c>
      <c r="B115" s="318" t="s">
        <v>2524</v>
      </c>
      <c r="C115" s="318">
        <v>12460</v>
      </c>
      <c r="D115" s="318">
        <v>12390</v>
      </c>
      <c r="E115" s="318"/>
      <c r="F115" s="318"/>
      <c r="G115" s="326">
        <v>8190</v>
      </c>
    </row>
    <row r="116" s="303" customFormat="1" ht="14.25" customHeight="1" spans="1:7">
      <c r="A116" s="318" t="s">
        <v>267</v>
      </c>
      <c r="B116" s="318" t="s">
        <v>2531</v>
      </c>
      <c r="C116" s="318">
        <v>13580</v>
      </c>
      <c r="D116" s="318">
        <v>13520</v>
      </c>
      <c r="E116" s="318"/>
      <c r="F116" s="318"/>
      <c r="G116" s="326">
        <v>8930</v>
      </c>
    </row>
    <row r="117" s="303" customFormat="1" ht="14.25" customHeight="1" spans="1:7">
      <c r="A117" s="318" t="s">
        <v>267</v>
      </c>
      <c r="B117" s="318" t="s">
        <v>2538</v>
      </c>
      <c r="C117" s="318">
        <v>17120</v>
      </c>
      <c r="D117" s="318">
        <v>17040</v>
      </c>
      <c r="E117" s="318"/>
      <c r="F117" s="318"/>
      <c r="G117" s="326">
        <v>11260</v>
      </c>
    </row>
    <row r="118" s="303" customFormat="1" ht="14.25" customHeight="1" spans="1:7">
      <c r="A118" s="318" t="s">
        <v>267</v>
      </c>
      <c r="B118" s="318" t="s">
        <v>2545</v>
      </c>
      <c r="C118" s="318">
        <v>14860</v>
      </c>
      <c r="D118" s="318">
        <v>14790</v>
      </c>
      <c r="E118" s="318"/>
      <c r="F118" s="318"/>
      <c r="G118" s="326">
        <v>9780</v>
      </c>
    </row>
    <row r="119" s="303" customFormat="1" ht="14.25" customHeight="1" spans="1:7">
      <c r="A119" s="318" t="s">
        <v>267</v>
      </c>
      <c r="B119" s="318" t="s">
        <v>2550</v>
      </c>
      <c r="C119" s="318">
        <v>16470</v>
      </c>
      <c r="D119" s="318">
        <v>16400</v>
      </c>
      <c r="E119" s="318"/>
      <c r="F119" s="318"/>
      <c r="G119" s="326">
        <v>10840</v>
      </c>
    </row>
    <row r="120" s="303" customFormat="1" ht="14.25" customHeight="1" spans="1:7">
      <c r="A120" s="318" t="s">
        <v>267</v>
      </c>
      <c r="B120" s="318" t="s">
        <v>2555</v>
      </c>
      <c r="C120" s="318"/>
      <c r="D120" s="318"/>
      <c r="E120" s="318"/>
      <c r="F120" s="318">
        <v>4160</v>
      </c>
      <c r="G120" s="326"/>
    </row>
    <row r="121" s="303" customFormat="1" ht="14.25" customHeight="1" spans="1:7">
      <c r="A121" s="318" t="s">
        <v>267</v>
      </c>
      <c r="B121" s="318" t="s">
        <v>2560</v>
      </c>
      <c r="C121" s="318"/>
      <c r="D121" s="318"/>
      <c r="E121" s="318"/>
      <c r="F121" s="318">
        <v>3880</v>
      </c>
      <c r="G121" s="326"/>
    </row>
    <row r="122" s="303" customFormat="1" ht="14.25" customHeight="1" spans="1:7">
      <c r="A122" s="318" t="s">
        <v>267</v>
      </c>
      <c r="B122" s="318" t="s">
        <v>2565</v>
      </c>
      <c r="C122" s="318">
        <v>13750</v>
      </c>
      <c r="D122" s="318">
        <v>13680</v>
      </c>
      <c r="E122" s="318">
        <v>16460</v>
      </c>
      <c r="F122" s="318">
        <v>2880</v>
      </c>
      <c r="G122" s="326">
        <v>9040</v>
      </c>
    </row>
    <row r="123" s="303" customFormat="1" ht="14.25" customHeight="1" spans="1:7">
      <c r="A123" s="318" t="s">
        <v>267</v>
      </c>
      <c r="B123" s="318" t="s">
        <v>2570</v>
      </c>
      <c r="C123" s="318">
        <v>13590</v>
      </c>
      <c r="D123" s="318">
        <v>13520</v>
      </c>
      <c r="E123" s="318">
        <v>16290</v>
      </c>
      <c r="F123" s="318">
        <v>2790</v>
      </c>
      <c r="G123" s="326">
        <v>8930</v>
      </c>
    </row>
    <row r="124" s="303" customFormat="1" ht="14.25" customHeight="1" spans="1:7">
      <c r="A124" s="318" t="s">
        <v>267</v>
      </c>
      <c r="B124" s="318" t="s">
        <v>2575</v>
      </c>
      <c r="C124" s="318">
        <v>13400</v>
      </c>
      <c r="D124" s="318">
        <v>13320</v>
      </c>
      <c r="E124" s="318">
        <v>16100</v>
      </c>
      <c r="F124" s="318">
        <v>2320</v>
      </c>
      <c r="G124" s="326">
        <v>8800</v>
      </c>
    </row>
    <row r="125" s="303" customFormat="1" ht="14.25" customHeight="1" spans="1:7">
      <c r="A125" s="318" t="s">
        <v>267</v>
      </c>
      <c r="B125" s="318" t="s">
        <v>2580</v>
      </c>
      <c r="C125" s="318">
        <v>12860</v>
      </c>
      <c r="D125" s="318">
        <v>12790</v>
      </c>
      <c r="E125" s="318">
        <v>15370</v>
      </c>
      <c r="F125" s="318">
        <v>2280</v>
      </c>
      <c r="G125" s="326">
        <v>8450</v>
      </c>
    </row>
    <row r="126" s="303" customFormat="1" ht="14.25" customHeight="1" spans="1:7">
      <c r="A126" s="327" t="s">
        <v>267</v>
      </c>
      <c r="B126" s="322" t="s">
        <v>2585</v>
      </c>
      <c r="C126" s="322">
        <v>12960</v>
      </c>
      <c r="D126" s="322">
        <v>12890</v>
      </c>
      <c r="E126" s="322">
        <v>15530</v>
      </c>
      <c r="F126" s="322">
        <v>2910</v>
      </c>
      <c r="G126" s="328">
        <v>8520</v>
      </c>
    </row>
    <row r="127" s="303" customFormat="1" ht="14.25" customHeight="1" spans="1:7">
      <c r="A127" s="316" t="s">
        <v>273</v>
      </c>
      <c r="B127" s="317" t="s">
        <v>2253</v>
      </c>
      <c r="C127" s="318">
        <v>12280</v>
      </c>
      <c r="D127" s="318">
        <v>12250</v>
      </c>
      <c r="E127" s="318">
        <v>15130</v>
      </c>
      <c r="F127" s="318">
        <v>2710</v>
      </c>
      <c r="G127" s="318">
        <v>7870</v>
      </c>
    </row>
    <row r="128" s="303" customFormat="1" ht="14.25" customHeight="1" spans="1:7">
      <c r="A128" s="318" t="s">
        <v>273</v>
      </c>
      <c r="B128" s="318" t="s">
        <v>2266</v>
      </c>
      <c r="C128" s="318">
        <v>13180</v>
      </c>
      <c r="D128" s="318">
        <v>13150</v>
      </c>
      <c r="E128" s="318">
        <v>16190</v>
      </c>
      <c r="F128" s="318">
        <v>2820</v>
      </c>
      <c r="G128" s="318">
        <v>8460</v>
      </c>
    </row>
    <row r="129" s="303" customFormat="1" ht="14.25" customHeight="1" spans="1:7">
      <c r="A129" s="318" t="s">
        <v>273</v>
      </c>
      <c r="B129" s="318" t="s">
        <v>2280</v>
      </c>
      <c r="C129" s="318">
        <v>10950</v>
      </c>
      <c r="D129" s="318">
        <v>10920</v>
      </c>
      <c r="E129" s="318">
        <v>13820</v>
      </c>
      <c r="F129" s="318">
        <v>2500</v>
      </c>
      <c r="G129" s="318">
        <v>7020</v>
      </c>
    </row>
    <row r="130" s="303" customFormat="1" ht="14.25" customHeight="1" spans="1:7">
      <c r="A130" s="318" t="s">
        <v>273</v>
      </c>
      <c r="B130" s="318" t="s">
        <v>2292</v>
      </c>
      <c r="C130" s="318">
        <v>10910</v>
      </c>
      <c r="D130" s="318">
        <v>10860</v>
      </c>
      <c r="E130" s="318">
        <v>13730</v>
      </c>
      <c r="F130" s="318">
        <v>2760</v>
      </c>
      <c r="G130" s="318">
        <v>6990</v>
      </c>
    </row>
    <row r="131" s="303" customFormat="1" ht="14.25" customHeight="1" spans="1:7">
      <c r="A131" s="318" t="s">
        <v>273</v>
      </c>
      <c r="B131" s="318" t="s">
        <v>2304</v>
      </c>
      <c r="C131" s="318">
        <v>12910</v>
      </c>
      <c r="D131" s="318">
        <v>12870</v>
      </c>
      <c r="E131" s="318">
        <v>15720</v>
      </c>
      <c r="F131" s="318">
        <v>2750</v>
      </c>
      <c r="G131" s="318">
        <v>8280</v>
      </c>
    </row>
    <row r="132" s="303" customFormat="1" ht="14.25" customHeight="1" spans="1:7">
      <c r="A132" s="318" t="s">
        <v>273</v>
      </c>
      <c r="B132" s="318" t="s">
        <v>2315</v>
      </c>
      <c r="C132" s="318">
        <v>11910</v>
      </c>
      <c r="D132" s="318">
        <v>11860</v>
      </c>
      <c r="E132" s="318">
        <v>14730</v>
      </c>
      <c r="F132" s="318">
        <v>2360</v>
      </c>
      <c r="G132" s="318">
        <v>7630</v>
      </c>
    </row>
    <row r="133" s="303" customFormat="1" ht="14.25" customHeight="1" spans="1:7">
      <c r="A133" s="318" t="s">
        <v>273</v>
      </c>
      <c r="B133" s="318" t="s">
        <v>2326</v>
      </c>
      <c r="C133" s="318">
        <v>12270</v>
      </c>
      <c r="D133" s="318">
        <v>12210</v>
      </c>
      <c r="E133" s="318">
        <v>15010</v>
      </c>
      <c r="F133" s="318">
        <v>2580</v>
      </c>
      <c r="G133" s="318">
        <v>7860</v>
      </c>
    </row>
    <row r="134" s="303" customFormat="1" ht="14.25" customHeight="1" spans="1:7">
      <c r="A134" s="318" t="s">
        <v>273</v>
      </c>
      <c r="B134" s="318" t="s">
        <v>2337</v>
      </c>
      <c r="C134" s="318">
        <v>10800</v>
      </c>
      <c r="D134" s="318">
        <v>10780</v>
      </c>
      <c r="E134" s="318">
        <v>13640</v>
      </c>
      <c r="F134" s="318">
        <v>2110</v>
      </c>
      <c r="G134" s="318">
        <v>6930</v>
      </c>
    </row>
    <row r="135" s="303" customFormat="1" ht="14.25" customHeight="1" spans="1:7">
      <c r="A135" s="318" t="s">
        <v>273</v>
      </c>
      <c r="B135" s="318" t="s">
        <v>2347</v>
      </c>
      <c r="C135" s="318">
        <v>10430</v>
      </c>
      <c r="D135" s="318">
        <v>10390</v>
      </c>
      <c r="E135" s="318">
        <v>13140</v>
      </c>
      <c r="F135" s="318">
        <v>2240</v>
      </c>
      <c r="G135" s="318">
        <v>6680</v>
      </c>
    </row>
    <row r="136" s="303" customFormat="1" ht="14.25" customHeight="1" spans="1:7">
      <c r="A136" s="318" t="s">
        <v>273</v>
      </c>
      <c r="B136" s="318" t="s">
        <v>2357</v>
      </c>
      <c r="C136" s="318">
        <v>11930</v>
      </c>
      <c r="D136" s="318">
        <v>11880</v>
      </c>
      <c r="E136" s="318">
        <v>14770</v>
      </c>
      <c r="F136" s="318">
        <v>1970</v>
      </c>
      <c r="G136" s="318">
        <v>7640</v>
      </c>
    </row>
    <row r="137" s="303" customFormat="1" ht="14.25" customHeight="1" spans="1:7">
      <c r="A137" s="318" t="s">
        <v>273</v>
      </c>
      <c r="B137" s="318" t="s">
        <v>2367</v>
      </c>
      <c r="C137" s="318">
        <v>10470</v>
      </c>
      <c r="D137" s="318">
        <v>10430</v>
      </c>
      <c r="E137" s="318">
        <v>13190</v>
      </c>
      <c r="F137" s="318">
        <v>1990</v>
      </c>
      <c r="G137" s="318">
        <v>6710</v>
      </c>
    </row>
    <row r="138" s="303" customFormat="1" ht="14.25" customHeight="1" spans="1:7">
      <c r="A138" s="318" t="s">
        <v>273</v>
      </c>
      <c r="B138" s="318" t="s">
        <v>2377</v>
      </c>
      <c r="C138" s="318">
        <v>10410</v>
      </c>
      <c r="D138" s="318">
        <v>10380</v>
      </c>
      <c r="E138" s="318">
        <v>13130</v>
      </c>
      <c r="F138" s="318">
        <v>2030</v>
      </c>
      <c r="G138" s="318">
        <v>6680</v>
      </c>
    </row>
    <row r="139" s="303" customFormat="1" ht="14.25" customHeight="1" spans="1:7">
      <c r="A139" s="318" t="s">
        <v>273</v>
      </c>
      <c r="B139" s="318" t="s">
        <v>2387</v>
      </c>
      <c r="C139" s="318">
        <v>9460</v>
      </c>
      <c r="D139" s="318">
        <v>9410</v>
      </c>
      <c r="E139" s="318">
        <v>12050</v>
      </c>
      <c r="F139" s="318">
        <v>2140</v>
      </c>
      <c r="G139" s="318">
        <v>6050</v>
      </c>
    </row>
    <row r="140" s="303" customFormat="1" ht="14.25" customHeight="1" spans="1:7">
      <c r="A140" s="318" t="s">
        <v>273</v>
      </c>
      <c r="B140" s="318" t="s">
        <v>2397</v>
      </c>
      <c r="C140" s="318">
        <v>11030</v>
      </c>
      <c r="D140" s="318">
        <v>10980</v>
      </c>
      <c r="E140" s="318">
        <v>13880</v>
      </c>
      <c r="F140" s="318">
        <v>2210</v>
      </c>
      <c r="G140" s="318">
        <v>7060</v>
      </c>
    </row>
    <row r="141" s="303" customFormat="1" ht="14.25" customHeight="1" spans="1:7">
      <c r="A141" s="318" t="s">
        <v>273</v>
      </c>
      <c r="B141" s="318" t="s">
        <v>2407</v>
      </c>
      <c r="C141" s="318">
        <v>11200</v>
      </c>
      <c r="D141" s="318">
        <v>11150</v>
      </c>
      <c r="E141" s="318">
        <v>14100</v>
      </c>
      <c r="F141" s="318">
        <v>2470</v>
      </c>
      <c r="G141" s="318">
        <v>7170</v>
      </c>
    </row>
    <row r="142" s="303" customFormat="1" ht="14.25" customHeight="1" spans="1:7">
      <c r="A142" s="318" t="s">
        <v>273</v>
      </c>
      <c r="B142" s="318" t="s">
        <v>2417</v>
      </c>
      <c r="C142" s="318">
        <v>10780</v>
      </c>
      <c r="D142" s="318">
        <v>10730</v>
      </c>
      <c r="E142" s="318">
        <v>13540</v>
      </c>
      <c r="F142" s="318">
        <v>2280</v>
      </c>
      <c r="G142" s="318">
        <v>6900</v>
      </c>
    </row>
    <row r="143" s="303" customFormat="1" ht="14.25" customHeight="1" spans="1:7">
      <c r="A143" s="318" t="s">
        <v>273</v>
      </c>
      <c r="B143" s="318" t="s">
        <v>2427</v>
      </c>
      <c r="C143" s="318">
        <v>11550</v>
      </c>
      <c r="D143" s="318">
        <v>11490</v>
      </c>
      <c r="E143" s="318">
        <v>14480</v>
      </c>
      <c r="F143" s="318">
        <v>2070</v>
      </c>
      <c r="G143" s="318">
        <v>7390</v>
      </c>
    </row>
    <row r="144" s="303" customFormat="1" ht="14.25" customHeight="1" spans="1:7">
      <c r="A144" s="318" t="s">
        <v>273</v>
      </c>
      <c r="B144" s="318" t="s">
        <v>2437</v>
      </c>
      <c r="C144" s="318">
        <v>10720</v>
      </c>
      <c r="D144" s="318">
        <v>10680</v>
      </c>
      <c r="E144" s="318">
        <v>13480</v>
      </c>
      <c r="F144" s="318">
        <v>2440</v>
      </c>
      <c r="G144" s="318">
        <v>6870</v>
      </c>
    </row>
    <row r="145" s="303" customFormat="1" ht="14.25" customHeight="1" spans="1:7">
      <c r="A145" s="318" t="s">
        <v>273</v>
      </c>
      <c r="B145" s="318" t="s">
        <v>2447</v>
      </c>
      <c r="C145" s="318">
        <v>10340</v>
      </c>
      <c r="D145" s="318">
        <v>10290</v>
      </c>
      <c r="E145" s="318">
        <v>12880</v>
      </c>
      <c r="F145" s="318">
        <v>2650</v>
      </c>
      <c r="G145" s="318">
        <v>6620</v>
      </c>
    </row>
    <row r="146" s="303" customFormat="1" ht="14.25" customHeight="1" spans="1:7">
      <c r="A146" s="318" t="s">
        <v>273</v>
      </c>
      <c r="B146" s="318" t="s">
        <v>2457</v>
      </c>
      <c r="C146" s="318">
        <v>11890</v>
      </c>
      <c r="D146" s="318">
        <v>11830</v>
      </c>
      <c r="E146" s="318">
        <v>14670</v>
      </c>
      <c r="F146" s="318"/>
      <c r="G146" s="318">
        <v>7610</v>
      </c>
    </row>
    <row r="147" s="303" customFormat="1" ht="14.25" customHeight="1" spans="1:7">
      <c r="A147" s="318" t="s">
        <v>273</v>
      </c>
      <c r="B147" s="318" t="s">
        <v>2466</v>
      </c>
      <c r="C147" s="318">
        <v>12650</v>
      </c>
      <c r="D147" s="318">
        <v>12600</v>
      </c>
      <c r="E147" s="318">
        <v>15440</v>
      </c>
      <c r="F147" s="318"/>
      <c r="G147" s="318">
        <v>8110</v>
      </c>
    </row>
    <row r="148" s="303" customFormat="1" ht="14.25" customHeight="1" spans="1:7">
      <c r="A148" s="318" t="s">
        <v>273</v>
      </c>
      <c r="B148" s="318" t="s">
        <v>2474</v>
      </c>
      <c r="C148" s="318">
        <v>10370</v>
      </c>
      <c r="D148" s="318">
        <v>10310</v>
      </c>
      <c r="E148" s="318">
        <v>12970</v>
      </c>
      <c r="F148" s="318"/>
      <c r="G148" s="318">
        <v>6630</v>
      </c>
    </row>
    <row r="149" s="303" customFormat="1" ht="14.25" customHeight="1" spans="1:7">
      <c r="A149" s="318" t="s">
        <v>273</v>
      </c>
      <c r="B149" s="318" t="s">
        <v>2482</v>
      </c>
      <c r="C149" s="318">
        <v>11600</v>
      </c>
      <c r="D149" s="318">
        <v>11560</v>
      </c>
      <c r="E149" s="318">
        <v>14540</v>
      </c>
      <c r="F149" s="318">
        <v>2390</v>
      </c>
      <c r="G149" s="318">
        <v>7430</v>
      </c>
    </row>
    <row r="150" s="303" customFormat="1" ht="14.25" customHeight="1" spans="1:7">
      <c r="A150" s="318" t="s">
        <v>273</v>
      </c>
      <c r="B150" s="318" t="s">
        <v>2490</v>
      </c>
      <c r="C150" s="318">
        <v>9950</v>
      </c>
      <c r="D150" s="318">
        <v>9890</v>
      </c>
      <c r="E150" s="318">
        <v>12590</v>
      </c>
      <c r="F150" s="318">
        <v>1970</v>
      </c>
      <c r="G150" s="318">
        <v>6360</v>
      </c>
    </row>
    <row r="151" s="303" customFormat="1" ht="14.25" customHeight="1" spans="1:7">
      <c r="A151" s="318" t="s">
        <v>273</v>
      </c>
      <c r="B151" s="318" t="s">
        <v>2498</v>
      </c>
      <c r="C151" s="318">
        <v>10700</v>
      </c>
      <c r="D151" s="318">
        <v>10650</v>
      </c>
      <c r="E151" s="318">
        <v>13420</v>
      </c>
      <c r="F151" s="318">
        <v>2020</v>
      </c>
      <c r="G151" s="318">
        <v>6850</v>
      </c>
    </row>
    <row r="152" s="303" customFormat="1" ht="14.25" customHeight="1" spans="1:7">
      <c r="A152" s="318" t="s">
        <v>273</v>
      </c>
      <c r="B152" s="318" t="s">
        <v>2505</v>
      </c>
      <c r="C152" s="318">
        <v>10310</v>
      </c>
      <c r="D152" s="318">
        <v>10260</v>
      </c>
      <c r="E152" s="318">
        <v>12820</v>
      </c>
      <c r="F152" s="318">
        <v>1980</v>
      </c>
      <c r="G152" s="318">
        <v>6600</v>
      </c>
    </row>
    <row r="153" s="303" customFormat="1" ht="14.25" customHeight="1" spans="1:7">
      <c r="A153" s="318" t="s">
        <v>273</v>
      </c>
      <c r="B153" s="318" t="s">
        <v>2511</v>
      </c>
      <c r="C153" s="318">
        <v>10880</v>
      </c>
      <c r="D153" s="318">
        <v>10820</v>
      </c>
      <c r="E153" s="318">
        <v>13660</v>
      </c>
      <c r="F153" s="318">
        <v>2260</v>
      </c>
      <c r="G153" s="318">
        <v>6970</v>
      </c>
    </row>
    <row r="154" s="303" customFormat="1" ht="14.25" customHeight="1" spans="1:7">
      <c r="A154" s="318" t="s">
        <v>273</v>
      </c>
      <c r="B154" s="318" t="s">
        <v>2518</v>
      </c>
      <c r="C154" s="318">
        <v>11220</v>
      </c>
      <c r="D154" s="318">
        <v>11160</v>
      </c>
      <c r="E154" s="318">
        <v>14130</v>
      </c>
      <c r="F154" s="318">
        <v>2230</v>
      </c>
      <c r="G154" s="318">
        <v>7180</v>
      </c>
    </row>
    <row r="155" s="303" customFormat="1" ht="14.25" customHeight="1" spans="1:7">
      <c r="A155" s="318" t="s">
        <v>273</v>
      </c>
      <c r="B155" s="318" t="s">
        <v>2525</v>
      </c>
      <c r="C155" s="318">
        <v>10430</v>
      </c>
      <c r="D155" s="318">
        <v>10380</v>
      </c>
      <c r="E155" s="318">
        <v>13140</v>
      </c>
      <c r="F155" s="318">
        <v>2080</v>
      </c>
      <c r="G155" s="318">
        <v>6650</v>
      </c>
    </row>
    <row r="156" s="303" customFormat="1" ht="14.25" customHeight="1" spans="1:7">
      <c r="A156" s="318" t="s">
        <v>273</v>
      </c>
      <c r="B156" s="318" t="s">
        <v>2532</v>
      </c>
      <c r="C156" s="318">
        <v>10440</v>
      </c>
      <c r="D156" s="318">
        <v>10400</v>
      </c>
      <c r="E156" s="318">
        <v>13150</v>
      </c>
      <c r="F156" s="318">
        <v>2490</v>
      </c>
      <c r="G156" s="318">
        <v>6690</v>
      </c>
    </row>
    <row r="157" s="303" customFormat="1" ht="14.25" customHeight="1" spans="1:7">
      <c r="A157" s="318" t="s">
        <v>273</v>
      </c>
      <c r="B157" s="318" t="s">
        <v>2539</v>
      </c>
      <c r="C157" s="318">
        <v>10970</v>
      </c>
      <c r="D157" s="318">
        <v>10920</v>
      </c>
      <c r="E157" s="318">
        <v>13840</v>
      </c>
      <c r="F157" s="318">
        <v>2420</v>
      </c>
      <c r="G157" s="318">
        <v>7020</v>
      </c>
    </row>
    <row r="158" s="303" customFormat="1" ht="14.25" customHeight="1" spans="1:7">
      <c r="A158" s="318" t="s">
        <v>273</v>
      </c>
      <c r="B158" s="318" t="s">
        <v>2546</v>
      </c>
      <c r="C158" s="318">
        <v>9590</v>
      </c>
      <c r="D158" s="318">
        <v>9540</v>
      </c>
      <c r="E158" s="318">
        <v>12210</v>
      </c>
      <c r="F158" s="318">
        <v>2100</v>
      </c>
      <c r="G158" s="318">
        <v>6130</v>
      </c>
    </row>
    <row r="159" s="303" customFormat="1" ht="14.25" customHeight="1" spans="1:7">
      <c r="A159" s="318" t="s">
        <v>273</v>
      </c>
      <c r="B159" s="318" t="s">
        <v>2551</v>
      </c>
      <c r="C159" s="318">
        <v>11190</v>
      </c>
      <c r="D159" s="318">
        <v>11140</v>
      </c>
      <c r="E159" s="318">
        <v>14090</v>
      </c>
      <c r="F159" s="318">
        <v>2470</v>
      </c>
      <c r="G159" s="318">
        <v>7170</v>
      </c>
    </row>
    <row r="160" s="303" customFormat="1" ht="14.25" customHeight="1" spans="1:7">
      <c r="A160" s="318" t="s">
        <v>273</v>
      </c>
      <c r="B160" s="318" t="s">
        <v>2556</v>
      </c>
      <c r="C160" s="318">
        <v>11180</v>
      </c>
      <c r="D160" s="318">
        <v>11140</v>
      </c>
      <c r="E160" s="318">
        <v>14050</v>
      </c>
      <c r="F160" s="318">
        <v>2270</v>
      </c>
      <c r="G160" s="318">
        <v>7170</v>
      </c>
    </row>
    <row r="161" s="303" customFormat="1" ht="14.25" customHeight="1" spans="1:7">
      <c r="A161" s="318" t="s">
        <v>273</v>
      </c>
      <c r="B161" s="318" t="s">
        <v>2561</v>
      </c>
      <c r="C161" s="318">
        <v>11160</v>
      </c>
      <c r="D161" s="318">
        <v>11120</v>
      </c>
      <c r="E161" s="318">
        <v>14020</v>
      </c>
      <c r="F161" s="318">
        <v>2150</v>
      </c>
      <c r="G161" s="318">
        <v>7160</v>
      </c>
    </row>
    <row r="162" s="303" customFormat="1" ht="14.25" customHeight="1" spans="1:7">
      <c r="A162" s="318" t="s">
        <v>273</v>
      </c>
      <c r="B162" s="318" t="s">
        <v>2566</v>
      </c>
      <c r="C162" s="318">
        <v>9620</v>
      </c>
      <c r="D162" s="318">
        <v>9570</v>
      </c>
      <c r="E162" s="318">
        <v>12320</v>
      </c>
      <c r="F162" s="318">
        <v>2010</v>
      </c>
      <c r="G162" s="318">
        <v>6160</v>
      </c>
    </row>
    <row r="163" s="303" customFormat="1" ht="14.25" customHeight="1" spans="1:7">
      <c r="A163" s="318" t="s">
        <v>273</v>
      </c>
      <c r="B163" s="318" t="s">
        <v>2571</v>
      </c>
      <c r="C163" s="318">
        <v>9320</v>
      </c>
      <c r="D163" s="318">
        <v>9270</v>
      </c>
      <c r="E163" s="318">
        <v>11790</v>
      </c>
      <c r="F163" s="318">
        <v>1920</v>
      </c>
      <c r="G163" s="318">
        <v>5960</v>
      </c>
    </row>
    <row r="164" s="303" customFormat="1" ht="14.25" customHeight="1" spans="1:7">
      <c r="A164" s="318" t="s">
        <v>273</v>
      </c>
      <c r="B164" s="318" t="s">
        <v>2576</v>
      </c>
      <c r="C164" s="318"/>
      <c r="D164" s="318"/>
      <c r="E164" s="318"/>
      <c r="F164" s="318">
        <v>1980</v>
      </c>
      <c r="G164" s="318"/>
    </row>
    <row r="165" s="303" customFormat="1" ht="14.25" customHeight="1" spans="1:7">
      <c r="A165" s="318" t="s">
        <v>273</v>
      </c>
      <c r="B165" s="318" t="s">
        <v>2581</v>
      </c>
      <c r="C165" s="318">
        <v>11060</v>
      </c>
      <c r="D165" s="318">
        <v>11030</v>
      </c>
      <c r="E165" s="318">
        <v>13850</v>
      </c>
      <c r="F165" s="318">
        <v>2170</v>
      </c>
      <c r="G165" s="318">
        <v>7090</v>
      </c>
    </row>
    <row r="166" s="303" customFormat="1" ht="14.25" customHeight="1" spans="1:7">
      <c r="A166" s="318" t="s">
        <v>273</v>
      </c>
      <c r="B166" s="318" t="s">
        <v>2586</v>
      </c>
      <c r="C166" s="318">
        <v>11050</v>
      </c>
      <c r="D166" s="318">
        <v>11010</v>
      </c>
      <c r="E166" s="318">
        <v>13920</v>
      </c>
      <c r="F166" s="318">
        <v>2140</v>
      </c>
      <c r="G166" s="318">
        <v>7080</v>
      </c>
    </row>
    <row r="167" s="303" customFormat="1" ht="14.25" customHeight="1" spans="1:7">
      <c r="A167" s="318" t="s">
        <v>273</v>
      </c>
      <c r="B167" s="318" t="s">
        <v>2590</v>
      </c>
      <c r="C167" s="318">
        <v>10930</v>
      </c>
      <c r="D167" s="318">
        <v>10890</v>
      </c>
      <c r="E167" s="318">
        <v>13790</v>
      </c>
      <c r="F167" s="318">
        <v>2010</v>
      </c>
      <c r="G167" s="318">
        <v>7000</v>
      </c>
    </row>
    <row r="168" s="303" customFormat="1" ht="14.25" customHeight="1" spans="1:7">
      <c r="A168" s="318" t="s">
        <v>273</v>
      </c>
      <c r="B168" s="318" t="s">
        <v>2594</v>
      </c>
      <c r="C168" s="318">
        <v>9420</v>
      </c>
      <c r="D168" s="318">
        <v>9380</v>
      </c>
      <c r="E168" s="318">
        <v>11970</v>
      </c>
      <c r="F168" s="318"/>
      <c r="G168" s="318">
        <v>6040</v>
      </c>
    </row>
    <row r="169" s="303" customFormat="1" ht="14.25" customHeight="1" spans="1:7">
      <c r="A169" s="318" t="s">
        <v>273</v>
      </c>
      <c r="B169" s="318" t="s">
        <v>2598</v>
      </c>
      <c r="C169" s="318"/>
      <c r="D169" s="318"/>
      <c r="E169" s="318"/>
      <c r="F169" s="318">
        <v>2880</v>
      </c>
      <c r="G169" s="318"/>
    </row>
    <row r="170" s="303" customFormat="1" ht="14.25" customHeight="1" spans="1:7">
      <c r="A170" s="318" t="s">
        <v>273</v>
      </c>
      <c r="B170" s="318" t="s">
        <v>2602</v>
      </c>
      <c r="C170" s="318"/>
      <c r="D170" s="318"/>
      <c r="E170" s="318"/>
      <c r="F170" s="318">
        <v>2880</v>
      </c>
      <c r="G170" s="318"/>
    </row>
    <row r="171" s="303" customFormat="1" ht="14.25" customHeight="1" spans="1:7">
      <c r="A171" s="318" t="s">
        <v>273</v>
      </c>
      <c r="B171" s="318" t="s">
        <v>2605</v>
      </c>
      <c r="C171" s="318"/>
      <c r="D171" s="318"/>
      <c r="E171" s="318"/>
      <c r="F171" s="318">
        <v>2880</v>
      </c>
      <c r="G171" s="318"/>
    </row>
    <row r="172" s="303" customFormat="1" ht="14.25" customHeight="1" spans="1:7">
      <c r="A172" s="318" t="s">
        <v>273</v>
      </c>
      <c r="B172" s="318" t="s">
        <v>2607</v>
      </c>
      <c r="C172" s="318"/>
      <c r="D172" s="318"/>
      <c r="E172" s="318"/>
      <c r="F172" s="318">
        <v>2880</v>
      </c>
      <c r="G172" s="318"/>
    </row>
    <row r="173" s="303" customFormat="1" ht="14.25" customHeight="1" spans="1:7">
      <c r="A173" s="318" t="s">
        <v>273</v>
      </c>
      <c r="B173" s="318" t="s">
        <v>2609</v>
      </c>
      <c r="C173" s="318"/>
      <c r="D173" s="318"/>
      <c r="E173" s="318"/>
      <c r="F173" s="318">
        <v>2150</v>
      </c>
      <c r="G173" s="318"/>
    </row>
    <row r="174" s="303" customFormat="1" ht="14.25" customHeight="1" spans="1:7">
      <c r="A174" s="318" t="s">
        <v>273</v>
      </c>
      <c r="B174" s="318" t="s">
        <v>2611</v>
      </c>
      <c r="C174" s="318"/>
      <c r="D174" s="318"/>
      <c r="E174" s="318"/>
      <c r="F174" s="318">
        <v>2030</v>
      </c>
      <c r="G174" s="318"/>
    </row>
    <row r="175" s="303" customFormat="1" ht="14.25" customHeight="1" spans="1:7">
      <c r="A175" s="318" t="s">
        <v>273</v>
      </c>
      <c r="B175" s="318" t="s">
        <v>2613</v>
      </c>
      <c r="C175" s="318"/>
      <c r="D175" s="318"/>
      <c r="E175" s="318"/>
      <c r="F175" s="318">
        <v>2780</v>
      </c>
      <c r="G175" s="318"/>
    </row>
    <row r="176" s="303" customFormat="1" ht="14.25" customHeight="1" spans="1:7">
      <c r="A176" s="318" t="s">
        <v>273</v>
      </c>
      <c r="B176" s="318" t="s">
        <v>2615</v>
      </c>
      <c r="C176" s="318"/>
      <c r="D176" s="318"/>
      <c r="E176" s="318"/>
      <c r="F176" s="318">
        <v>2780</v>
      </c>
      <c r="G176" s="318"/>
    </row>
    <row r="177" s="303" customFormat="1" ht="14.25" customHeight="1" spans="1:7">
      <c r="A177" s="318" t="s">
        <v>273</v>
      </c>
      <c r="B177" s="318" t="s">
        <v>2617</v>
      </c>
      <c r="C177" s="318"/>
      <c r="D177" s="318"/>
      <c r="E177" s="318"/>
      <c r="F177" s="318">
        <v>2780</v>
      </c>
      <c r="G177" s="318"/>
    </row>
    <row r="178" s="303" customFormat="1" ht="14.25" customHeight="1" spans="1:7">
      <c r="A178" s="318" t="s">
        <v>273</v>
      </c>
      <c r="B178" s="318" t="s">
        <v>2618</v>
      </c>
      <c r="C178" s="318"/>
      <c r="D178" s="318"/>
      <c r="E178" s="318"/>
      <c r="F178" s="318">
        <v>2060</v>
      </c>
      <c r="G178" s="318"/>
    </row>
    <row r="179" s="303" customFormat="1" ht="14.25" customHeight="1" spans="1:7">
      <c r="A179" s="318" t="s">
        <v>273</v>
      </c>
      <c r="B179" s="318" t="s">
        <v>2619</v>
      </c>
      <c r="C179" s="318"/>
      <c r="D179" s="318"/>
      <c r="E179" s="318"/>
      <c r="F179" s="318">
        <v>2120</v>
      </c>
      <c r="G179" s="318"/>
    </row>
    <row r="180" s="303" customFormat="1" ht="14.25" customHeight="1" spans="1:7">
      <c r="A180" s="318" t="s">
        <v>273</v>
      </c>
      <c r="B180" s="318" t="s">
        <v>2620</v>
      </c>
      <c r="C180" s="318"/>
      <c r="D180" s="318"/>
      <c r="E180" s="318"/>
      <c r="F180" s="318">
        <v>2340</v>
      </c>
      <c r="G180" s="318"/>
    </row>
    <row r="181" s="303" customFormat="1" ht="14.25" customHeight="1" spans="1:7">
      <c r="A181" s="318" t="s">
        <v>273</v>
      </c>
      <c r="B181" s="318" t="s">
        <v>2621</v>
      </c>
      <c r="C181" s="318"/>
      <c r="D181" s="318"/>
      <c r="E181" s="318"/>
      <c r="F181" s="318">
        <v>2340</v>
      </c>
      <c r="G181" s="318"/>
    </row>
    <row r="182" s="303" customFormat="1" ht="14.25" customHeight="1" spans="1:7">
      <c r="A182" s="318" t="s">
        <v>273</v>
      </c>
      <c r="B182" s="318" t="s">
        <v>2622</v>
      </c>
      <c r="C182" s="318"/>
      <c r="D182" s="318"/>
      <c r="E182" s="318"/>
      <c r="F182" s="318">
        <v>2340</v>
      </c>
      <c r="G182" s="318"/>
    </row>
    <row r="183" s="303" customFormat="1" ht="14.25" customHeight="1" spans="1:7">
      <c r="A183" s="318" t="s">
        <v>273</v>
      </c>
      <c r="B183" s="318" t="s">
        <v>2623</v>
      </c>
      <c r="C183" s="318"/>
      <c r="D183" s="318"/>
      <c r="E183" s="318"/>
      <c r="F183" s="318">
        <v>2340</v>
      </c>
      <c r="G183" s="318"/>
    </row>
    <row r="184" s="303" customFormat="1" ht="14.25" customHeight="1" spans="1:7">
      <c r="A184" s="318" t="s">
        <v>273</v>
      </c>
      <c r="B184" s="318" t="s">
        <v>2624</v>
      </c>
      <c r="C184" s="318"/>
      <c r="D184" s="318"/>
      <c r="E184" s="318"/>
      <c r="F184" s="318">
        <v>2340</v>
      </c>
      <c r="G184" s="318"/>
    </row>
    <row r="185" s="303" customFormat="1" ht="14.25" customHeight="1" spans="1:7">
      <c r="A185" s="318" t="s">
        <v>273</v>
      </c>
      <c r="B185" s="318" t="s">
        <v>2625</v>
      </c>
      <c r="C185" s="318"/>
      <c r="D185" s="318"/>
      <c r="E185" s="318"/>
      <c r="F185" s="318">
        <v>2530</v>
      </c>
      <c r="G185" s="318"/>
    </row>
    <row r="186" s="303" customFormat="1" ht="14.25" customHeight="1" spans="1:7">
      <c r="A186" s="318" t="s">
        <v>273</v>
      </c>
      <c r="B186" s="318" t="s">
        <v>2626</v>
      </c>
      <c r="C186" s="318"/>
      <c r="D186" s="318"/>
      <c r="E186" s="318"/>
      <c r="F186" s="318">
        <v>2550</v>
      </c>
      <c r="G186" s="318"/>
    </row>
    <row r="187" s="303" customFormat="1" ht="14.25" customHeight="1" spans="1:7">
      <c r="A187" s="318" t="s">
        <v>273</v>
      </c>
      <c r="B187" s="318" t="s">
        <v>2627</v>
      </c>
      <c r="C187" s="318"/>
      <c r="D187" s="318"/>
      <c r="E187" s="318"/>
      <c r="F187" s="318">
        <v>2070</v>
      </c>
      <c r="G187" s="318"/>
    </row>
    <row r="188" s="303" customFormat="1" ht="14.25" customHeight="1" spans="1:7">
      <c r="A188" s="318" t="s">
        <v>273</v>
      </c>
      <c r="B188" s="318" t="s">
        <v>2628</v>
      </c>
      <c r="C188" s="318"/>
      <c r="D188" s="318"/>
      <c r="E188" s="318"/>
      <c r="F188" s="318">
        <v>2340</v>
      </c>
      <c r="G188" s="318"/>
    </row>
    <row r="189" s="303" customFormat="1" ht="14.25" customHeight="1" spans="1:7">
      <c r="A189" s="320" t="s">
        <v>273</v>
      </c>
      <c r="B189" s="324" t="s">
        <v>2629</v>
      </c>
      <c r="C189" s="324"/>
      <c r="D189" s="324"/>
      <c r="E189" s="324"/>
      <c r="F189" s="324">
        <v>2050</v>
      </c>
      <c r="G189" s="324"/>
    </row>
    <row r="190" s="303" customFormat="1" ht="14.25" customHeight="1" spans="1:7">
      <c r="A190" s="316" t="s">
        <v>278</v>
      </c>
      <c r="B190" s="317" t="s">
        <v>2254</v>
      </c>
      <c r="C190" s="317">
        <v>8830</v>
      </c>
      <c r="D190" s="317">
        <v>8790</v>
      </c>
      <c r="E190" s="317">
        <v>11630</v>
      </c>
      <c r="F190" s="317">
        <v>1790</v>
      </c>
      <c r="G190" s="325">
        <v>5550</v>
      </c>
    </row>
    <row r="191" s="303" customFormat="1" ht="14.25" customHeight="1" spans="1:7">
      <c r="A191" s="318" t="s">
        <v>278</v>
      </c>
      <c r="B191" s="318" t="s">
        <v>2267</v>
      </c>
      <c r="C191" s="318">
        <v>9780</v>
      </c>
      <c r="D191" s="318">
        <v>9710</v>
      </c>
      <c r="E191" s="318">
        <v>12550</v>
      </c>
      <c r="F191" s="318">
        <v>1980</v>
      </c>
      <c r="G191" s="326">
        <v>6130</v>
      </c>
    </row>
    <row r="192" s="303" customFormat="1" ht="14.25" customHeight="1" spans="1:7">
      <c r="A192" s="318" t="s">
        <v>278</v>
      </c>
      <c r="B192" s="318" t="s">
        <v>2281</v>
      </c>
      <c r="C192" s="318">
        <v>8180</v>
      </c>
      <c r="D192" s="318">
        <v>8140</v>
      </c>
      <c r="E192" s="318">
        <v>10870</v>
      </c>
      <c r="F192" s="318">
        <v>1690</v>
      </c>
      <c r="G192" s="326">
        <v>5140</v>
      </c>
    </row>
    <row r="193" s="303" customFormat="1" ht="14.25" customHeight="1" spans="1:7">
      <c r="A193" s="318" t="s">
        <v>278</v>
      </c>
      <c r="B193" s="318" t="s">
        <v>2293</v>
      </c>
      <c r="C193" s="318">
        <v>8440</v>
      </c>
      <c r="D193" s="318">
        <v>8390</v>
      </c>
      <c r="E193" s="318">
        <v>11210</v>
      </c>
      <c r="F193" s="318">
        <v>1600</v>
      </c>
      <c r="G193" s="326">
        <v>5300</v>
      </c>
    </row>
    <row r="194" s="303" customFormat="1" ht="14.25" customHeight="1" spans="1:7">
      <c r="A194" s="318" t="s">
        <v>278</v>
      </c>
      <c r="B194" s="318" t="s">
        <v>2305</v>
      </c>
      <c r="C194" s="318">
        <v>8780</v>
      </c>
      <c r="D194" s="318">
        <v>8730</v>
      </c>
      <c r="E194" s="318">
        <v>11550</v>
      </c>
      <c r="F194" s="318">
        <v>1660</v>
      </c>
      <c r="G194" s="326">
        <v>5520</v>
      </c>
    </row>
    <row r="195" s="303" customFormat="1" ht="14.25" customHeight="1" spans="1:7">
      <c r="A195" s="318" t="s">
        <v>278</v>
      </c>
      <c r="B195" s="318" t="s">
        <v>2316</v>
      </c>
      <c r="C195" s="318">
        <v>8720</v>
      </c>
      <c r="D195" s="318">
        <v>8670</v>
      </c>
      <c r="E195" s="318">
        <v>11450</v>
      </c>
      <c r="F195" s="318">
        <v>1720</v>
      </c>
      <c r="G195" s="326">
        <v>5480</v>
      </c>
    </row>
    <row r="196" s="303" customFormat="1" ht="14.25" customHeight="1" spans="1:7">
      <c r="A196" s="318" t="s">
        <v>278</v>
      </c>
      <c r="B196" s="318" t="s">
        <v>2327</v>
      </c>
      <c r="C196" s="318">
        <v>8460</v>
      </c>
      <c r="D196" s="318">
        <v>8410</v>
      </c>
      <c r="E196" s="318">
        <v>11230</v>
      </c>
      <c r="F196" s="318">
        <v>1730</v>
      </c>
      <c r="G196" s="326">
        <v>5310</v>
      </c>
    </row>
    <row r="197" s="303" customFormat="1" ht="14.25" customHeight="1" spans="1:7">
      <c r="A197" s="318" t="s">
        <v>278</v>
      </c>
      <c r="B197" s="318" t="s">
        <v>2338</v>
      </c>
      <c r="C197" s="318">
        <v>8790</v>
      </c>
      <c r="D197" s="318">
        <v>8730</v>
      </c>
      <c r="E197" s="318">
        <v>11560</v>
      </c>
      <c r="F197" s="318">
        <v>1750</v>
      </c>
      <c r="G197" s="326">
        <v>5520</v>
      </c>
    </row>
    <row r="198" s="303" customFormat="1" ht="14.25" customHeight="1" spans="1:7">
      <c r="A198" s="318" t="s">
        <v>278</v>
      </c>
      <c r="B198" s="318" t="s">
        <v>2348</v>
      </c>
      <c r="C198" s="318">
        <v>8720</v>
      </c>
      <c r="D198" s="318">
        <v>8680</v>
      </c>
      <c r="E198" s="318">
        <v>11470</v>
      </c>
      <c r="F198" s="318"/>
      <c r="G198" s="326">
        <v>5480</v>
      </c>
    </row>
    <row r="199" s="303" customFormat="1" ht="14.25" customHeight="1" spans="1:7">
      <c r="A199" s="318" t="s">
        <v>278</v>
      </c>
      <c r="B199" s="318" t="s">
        <v>2358</v>
      </c>
      <c r="C199" s="318">
        <v>8690</v>
      </c>
      <c r="D199" s="318">
        <v>8630</v>
      </c>
      <c r="E199" s="318">
        <v>11350</v>
      </c>
      <c r="F199" s="318">
        <v>1600</v>
      </c>
      <c r="G199" s="326">
        <v>5450</v>
      </c>
    </row>
    <row r="200" s="303" customFormat="1" ht="14.25" customHeight="1" spans="1:7">
      <c r="A200" s="318" t="s">
        <v>278</v>
      </c>
      <c r="B200" s="318" t="s">
        <v>2368</v>
      </c>
      <c r="C200" s="318"/>
      <c r="D200" s="318"/>
      <c r="E200" s="318"/>
      <c r="F200" s="318">
        <v>1510</v>
      </c>
      <c r="G200" s="326"/>
    </row>
    <row r="201" s="303" customFormat="1" ht="14.25" customHeight="1" spans="1:7">
      <c r="A201" s="318" t="s">
        <v>278</v>
      </c>
      <c r="B201" s="318" t="s">
        <v>2378</v>
      </c>
      <c r="C201" s="318">
        <v>8440</v>
      </c>
      <c r="D201" s="318">
        <v>8390</v>
      </c>
      <c r="E201" s="318">
        <v>10930</v>
      </c>
      <c r="F201" s="318">
        <v>1500</v>
      </c>
      <c r="G201" s="326">
        <v>5300</v>
      </c>
    </row>
    <row r="202" s="303" customFormat="1" ht="14.25" customHeight="1" spans="1:7">
      <c r="A202" s="318" t="s">
        <v>278</v>
      </c>
      <c r="B202" s="318" t="s">
        <v>2388</v>
      </c>
      <c r="C202" s="318">
        <v>8530</v>
      </c>
      <c r="D202" s="318">
        <v>8490</v>
      </c>
      <c r="E202" s="318">
        <v>11160</v>
      </c>
      <c r="F202" s="318">
        <v>1580</v>
      </c>
      <c r="G202" s="326">
        <v>5360</v>
      </c>
    </row>
    <row r="203" s="303" customFormat="1" ht="14.25" customHeight="1" spans="1:7">
      <c r="A203" s="318" t="s">
        <v>278</v>
      </c>
      <c r="B203" s="318" t="s">
        <v>2398</v>
      </c>
      <c r="C203" s="318">
        <v>8130</v>
      </c>
      <c r="D203" s="318">
        <v>8070</v>
      </c>
      <c r="E203" s="318">
        <v>10820</v>
      </c>
      <c r="F203" s="318">
        <v>1690</v>
      </c>
      <c r="G203" s="326">
        <v>5100</v>
      </c>
    </row>
    <row r="204" s="303" customFormat="1" ht="14.25" customHeight="1" spans="1:7">
      <c r="A204" s="318" t="s">
        <v>278</v>
      </c>
      <c r="B204" s="318" t="s">
        <v>2408</v>
      </c>
      <c r="C204" s="318">
        <v>8350</v>
      </c>
      <c r="D204" s="318">
        <v>8290</v>
      </c>
      <c r="E204" s="318">
        <v>11080</v>
      </c>
      <c r="F204" s="318">
        <v>1450</v>
      </c>
      <c r="G204" s="326">
        <v>5240</v>
      </c>
    </row>
    <row r="205" s="303" customFormat="1" ht="14.25" customHeight="1" spans="1:7">
      <c r="A205" s="318" t="s">
        <v>278</v>
      </c>
      <c r="B205" s="318" t="s">
        <v>2418</v>
      </c>
      <c r="C205" s="318">
        <v>7190</v>
      </c>
      <c r="D205" s="318">
        <v>7130</v>
      </c>
      <c r="E205" s="318">
        <v>9490</v>
      </c>
      <c r="F205" s="318">
        <v>1470</v>
      </c>
      <c r="G205" s="326">
        <v>4510</v>
      </c>
    </row>
    <row r="206" s="303" customFormat="1" ht="14.25" customHeight="1" spans="1:7">
      <c r="A206" s="318" t="s">
        <v>278</v>
      </c>
      <c r="B206" s="318" t="s">
        <v>2428</v>
      </c>
      <c r="C206" s="318">
        <v>7000</v>
      </c>
      <c r="D206" s="318">
        <v>6950</v>
      </c>
      <c r="E206" s="318">
        <v>9170</v>
      </c>
      <c r="F206" s="318">
        <v>1400</v>
      </c>
      <c r="G206" s="326">
        <v>4380</v>
      </c>
    </row>
    <row r="207" s="303" customFormat="1" ht="14.25" customHeight="1" spans="1:7">
      <c r="A207" s="318" t="s">
        <v>278</v>
      </c>
      <c r="B207" s="318" t="s">
        <v>2438</v>
      </c>
      <c r="C207" s="318">
        <v>6950</v>
      </c>
      <c r="D207" s="318">
        <v>6900</v>
      </c>
      <c r="E207" s="318">
        <v>9110</v>
      </c>
      <c r="F207" s="318">
        <v>1790</v>
      </c>
      <c r="G207" s="326">
        <v>4360</v>
      </c>
    </row>
    <row r="208" s="303" customFormat="1" ht="14.25" customHeight="1" spans="1:7">
      <c r="A208" s="318" t="s">
        <v>278</v>
      </c>
      <c r="B208" s="318" t="s">
        <v>2448</v>
      </c>
      <c r="C208" s="318">
        <v>9470</v>
      </c>
      <c r="D208" s="318">
        <v>9410</v>
      </c>
      <c r="E208" s="318">
        <v>12330</v>
      </c>
      <c r="F208" s="318">
        <v>1770</v>
      </c>
      <c r="G208" s="326">
        <v>5940</v>
      </c>
    </row>
    <row r="209" s="303" customFormat="1" ht="14.25" customHeight="1" spans="1:7">
      <c r="A209" s="318" t="s">
        <v>278</v>
      </c>
      <c r="B209" s="318" t="s">
        <v>2458</v>
      </c>
      <c r="C209" s="318">
        <v>8740</v>
      </c>
      <c r="D209" s="318">
        <v>8700</v>
      </c>
      <c r="E209" s="318">
        <v>11500</v>
      </c>
      <c r="F209" s="318">
        <v>1730</v>
      </c>
      <c r="G209" s="326">
        <v>5490</v>
      </c>
    </row>
    <row r="210" s="303" customFormat="1" ht="14.25" customHeight="1" spans="1:7">
      <c r="A210" s="318" t="s">
        <v>278</v>
      </c>
      <c r="B210" s="318" t="s">
        <v>2467</v>
      </c>
      <c r="C210" s="318">
        <v>8710</v>
      </c>
      <c r="D210" s="318">
        <v>8660</v>
      </c>
      <c r="E210" s="318">
        <v>11440</v>
      </c>
      <c r="F210" s="318">
        <v>1740</v>
      </c>
      <c r="G210" s="326">
        <v>5470</v>
      </c>
    </row>
    <row r="211" s="303" customFormat="1" ht="14.25" customHeight="1" spans="1:7">
      <c r="A211" s="318" t="s">
        <v>278</v>
      </c>
      <c r="B211" s="318" t="s">
        <v>2475</v>
      </c>
      <c r="C211" s="318">
        <v>9480</v>
      </c>
      <c r="D211" s="318">
        <v>9430</v>
      </c>
      <c r="E211" s="318">
        <v>12360</v>
      </c>
      <c r="F211" s="318">
        <v>1820</v>
      </c>
      <c r="G211" s="326">
        <v>5950</v>
      </c>
    </row>
    <row r="212" s="303" customFormat="1" ht="14.25" customHeight="1" spans="1:7">
      <c r="A212" s="318" t="s">
        <v>278</v>
      </c>
      <c r="B212" s="318" t="s">
        <v>2483</v>
      </c>
      <c r="C212" s="318">
        <v>9070</v>
      </c>
      <c r="D212" s="318">
        <v>9020</v>
      </c>
      <c r="E212" s="318">
        <v>11720</v>
      </c>
      <c r="F212" s="318">
        <v>1850</v>
      </c>
      <c r="G212" s="326">
        <v>5700</v>
      </c>
    </row>
    <row r="213" s="303" customFormat="1" ht="14.25" customHeight="1" spans="1:7">
      <c r="A213" s="318" t="s">
        <v>278</v>
      </c>
      <c r="B213" s="318" t="s">
        <v>2491</v>
      </c>
      <c r="C213" s="318">
        <v>9030</v>
      </c>
      <c r="D213" s="318">
        <v>8980</v>
      </c>
      <c r="E213" s="318">
        <v>11670</v>
      </c>
      <c r="F213" s="318">
        <v>1690</v>
      </c>
      <c r="G213" s="326">
        <v>5670</v>
      </c>
    </row>
    <row r="214" s="303" customFormat="1" ht="14.25" customHeight="1" spans="1:7">
      <c r="A214" s="318" t="s">
        <v>278</v>
      </c>
      <c r="B214" s="318" t="s">
        <v>2499</v>
      </c>
      <c r="C214" s="318">
        <v>8090</v>
      </c>
      <c r="D214" s="318">
        <v>8030</v>
      </c>
      <c r="E214" s="318">
        <v>10780</v>
      </c>
      <c r="F214" s="318">
        <v>1570</v>
      </c>
      <c r="G214" s="326">
        <v>5070</v>
      </c>
    </row>
    <row r="215" s="303" customFormat="1" ht="14.25" customHeight="1" spans="1:7">
      <c r="A215" s="318" t="s">
        <v>278</v>
      </c>
      <c r="B215" s="318" t="s">
        <v>2506</v>
      </c>
      <c r="C215" s="318">
        <v>7950</v>
      </c>
      <c r="D215" s="318">
        <v>7900</v>
      </c>
      <c r="E215" s="318">
        <v>10560</v>
      </c>
      <c r="F215" s="318">
        <v>1630</v>
      </c>
      <c r="G215" s="326">
        <v>4990</v>
      </c>
    </row>
    <row r="216" s="303" customFormat="1" ht="14.25" customHeight="1" spans="1:7">
      <c r="A216" s="318" t="s">
        <v>278</v>
      </c>
      <c r="B216" s="318" t="s">
        <v>2512</v>
      </c>
      <c r="C216" s="318">
        <v>8490</v>
      </c>
      <c r="D216" s="318">
        <v>8440</v>
      </c>
      <c r="E216" s="318">
        <v>11260</v>
      </c>
      <c r="F216" s="318">
        <v>1690</v>
      </c>
      <c r="G216" s="326">
        <v>5330</v>
      </c>
    </row>
    <row r="217" s="303" customFormat="1" ht="14.25" customHeight="1" spans="1:7">
      <c r="A217" s="318" t="s">
        <v>278</v>
      </c>
      <c r="B217" s="318" t="s">
        <v>2519</v>
      </c>
      <c r="C217" s="318">
        <v>8200</v>
      </c>
      <c r="D217" s="318">
        <v>8150</v>
      </c>
      <c r="E217" s="318">
        <v>10910</v>
      </c>
      <c r="F217" s="318">
        <v>1670</v>
      </c>
      <c r="G217" s="326">
        <v>5150</v>
      </c>
    </row>
    <row r="218" s="303" customFormat="1" ht="14.25" customHeight="1" spans="1:7">
      <c r="A218" s="318" t="s">
        <v>278</v>
      </c>
      <c r="B218" s="318" t="s">
        <v>2526</v>
      </c>
      <c r="C218" s="318"/>
      <c r="D218" s="318"/>
      <c r="E218" s="318"/>
      <c r="F218" s="318">
        <v>2040</v>
      </c>
      <c r="G218" s="326"/>
    </row>
    <row r="219" s="303" customFormat="1" ht="14.25" customHeight="1" spans="1:7">
      <c r="A219" s="318" t="s">
        <v>278</v>
      </c>
      <c r="B219" s="318" t="s">
        <v>2533</v>
      </c>
      <c r="C219" s="318"/>
      <c r="D219" s="318"/>
      <c r="E219" s="318"/>
      <c r="F219" s="318">
        <v>2040</v>
      </c>
      <c r="G219" s="326"/>
    </row>
    <row r="220" s="303" customFormat="1" ht="14.25" customHeight="1" spans="1:7">
      <c r="A220" s="318" t="s">
        <v>278</v>
      </c>
      <c r="B220" s="318" t="s">
        <v>2540</v>
      </c>
      <c r="C220" s="318"/>
      <c r="D220" s="318"/>
      <c r="E220" s="318"/>
      <c r="F220" s="318">
        <v>2040</v>
      </c>
      <c r="G220" s="326"/>
    </row>
    <row r="221" s="303" customFormat="1" ht="14.25" customHeight="1" spans="1:7">
      <c r="A221" s="318" t="s">
        <v>278</v>
      </c>
      <c r="B221" s="318" t="s">
        <v>2547</v>
      </c>
      <c r="C221" s="318"/>
      <c r="D221" s="318"/>
      <c r="E221" s="318"/>
      <c r="F221" s="318">
        <v>2040</v>
      </c>
      <c r="G221" s="326"/>
    </row>
    <row r="222" s="303" customFormat="1" ht="14.25" customHeight="1" spans="1:7">
      <c r="A222" s="318" t="s">
        <v>278</v>
      </c>
      <c r="B222" s="318" t="s">
        <v>2552</v>
      </c>
      <c r="C222" s="318"/>
      <c r="D222" s="318"/>
      <c r="E222" s="318"/>
      <c r="F222" s="318">
        <v>2040</v>
      </c>
      <c r="G222" s="326"/>
    </row>
    <row r="223" s="303" customFormat="1" ht="14.25" customHeight="1" spans="1:7">
      <c r="A223" s="318" t="s">
        <v>278</v>
      </c>
      <c r="B223" s="318" t="s">
        <v>2557</v>
      </c>
      <c r="C223" s="318"/>
      <c r="D223" s="318"/>
      <c r="E223" s="318"/>
      <c r="F223" s="318">
        <v>1930</v>
      </c>
      <c r="G223" s="326"/>
    </row>
    <row r="224" s="303" customFormat="1" ht="14.25" customHeight="1" spans="1:7">
      <c r="A224" s="318" t="s">
        <v>278</v>
      </c>
      <c r="B224" s="318" t="s">
        <v>2562</v>
      </c>
      <c r="C224" s="318"/>
      <c r="D224" s="318"/>
      <c r="E224" s="318"/>
      <c r="F224" s="318">
        <v>1930</v>
      </c>
      <c r="G224" s="326"/>
    </row>
    <row r="225" s="303" customFormat="1" ht="14.25" customHeight="1" spans="1:7">
      <c r="A225" s="318" t="s">
        <v>278</v>
      </c>
      <c r="B225" s="318" t="s">
        <v>2567</v>
      </c>
      <c r="C225" s="318"/>
      <c r="D225" s="318"/>
      <c r="E225" s="318"/>
      <c r="F225" s="318">
        <v>1930</v>
      </c>
      <c r="G225" s="326"/>
    </row>
    <row r="226" s="303" customFormat="1" ht="14.25" customHeight="1" spans="1:7">
      <c r="A226" s="318" t="s">
        <v>278</v>
      </c>
      <c r="B226" s="318" t="s">
        <v>2572</v>
      </c>
      <c r="C226" s="318"/>
      <c r="D226" s="318"/>
      <c r="E226" s="318"/>
      <c r="F226" s="318">
        <v>1700</v>
      </c>
      <c r="G226" s="326"/>
    </row>
    <row r="227" s="303" customFormat="1" ht="14.25" customHeight="1" spans="1:7">
      <c r="A227" s="318" t="s">
        <v>278</v>
      </c>
      <c r="B227" s="318" t="s">
        <v>2577</v>
      </c>
      <c r="C227" s="318"/>
      <c r="D227" s="318"/>
      <c r="E227" s="318"/>
      <c r="F227" s="318">
        <v>1520</v>
      </c>
      <c r="G227" s="326"/>
    </row>
    <row r="228" s="303" customFormat="1" ht="14.25" customHeight="1" spans="1:7">
      <c r="A228" s="318" t="s">
        <v>278</v>
      </c>
      <c r="B228" s="318" t="s">
        <v>2582</v>
      </c>
      <c r="C228" s="318"/>
      <c r="D228" s="318"/>
      <c r="E228" s="318"/>
      <c r="F228" s="318">
        <v>1520</v>
      </c>
      <c r="G228" s="326"/>
    </row>
    <row r="229" s="303" customFormat="1" ht="14.25" customHeight="1" spans="1:7">
      <c r="A229" s="318" t="s">
        <v>278</v>
      </c>
      <c r="B229" s="318" t="s">
        <v>2587</v>
      </c>
      <c r="C229" s="318"/>
      <c r="D229" s="318"/>
      <c r="E229" s="318"/>
      <c r="F229" s="318">
        <v>1520</v>
      </c>
      <c r="G229" s="326"/>
    </row>
    <row r="230" s="303" customFormat="1" ht="14.25" customHeight="1" spans="1:7">
      <c r="A230" s="318" t="s">
        <v>278</v>
      </c>
      <c r="B230" s="318" t="s">
        <v>2591</v>
      </c>
      <c r="C230" s="318"/>
      <c r="D230" s="318"/>
      <c r="E230" s="318"/>
      <c r="F230" s="318">
        <v>1820</v>
      </c>
      <c r="G230" s="326"/>
    </row>
    <row r="231" s="303" customFormat="1" ht="14.25" customHeight="1" spans="1:7">
      <c r="A231" s="318" t="s">
        <v>278</v>
      </c>
      <c r="B231" s="318" t="s">
        <v>2595</v>
      </c>
      <c r="C231" s="318"/>
      <c r="D231" s="318"/>
      <c r="E231" s="318"/>
      <c r="F231" s="318">
        <v>1760</v>
      </c>
      <c r="G231" s="326"/>
    </row>
    <row r="232" s="303" customFormat="1" ht="14.25" customHeight="1" spans="1:7">
      <c r="A232" s="318" t="s">
        <v>278</v>
      </c>
      <c r="B232" s="318" t="s">
        <v>2599</v>
      </c>
      <c r="C232" s="318"/>
      <c r="D232" s="318"/>
      <c r="E232" s="318"/>
      <c r="F232" s="318">
        <v>1840</v>
      </c>
      <c r="G232" s="326"/>
    </row>
    <row r="233" s="303" customFormat="1" ht="14.25" customHeight="1" spans="1:7">
      <c r="A233" s="327" t="s">
        <v>278</v>
      </c>
      <c r="B233" s="322" t="s">
        <v>2603</v>
      </c>
      <c r="C233" s="322"/>
      <c r="D233" s="322"/>
      <c r="E233" s="322"/>
      <c r="F233" s="322">
        <v>1770</v>
      </c>
      <c r="G233" s="328"/>
    </row>
    <row r="234" s="303" customFormat="1" ht="14.25" customHeight="1" spans="1:7">
      <c r="A234" s="316" t="s">
        <v>284</v>
      </c>
      <c r="B234" s="317" t="s">
        <v>2255</v>
      </c>
      <c r="C234" s="318">
        <v>6980</v>
      </c>
      <c r="D234" s="318">
        <v>6970</v>
      </c>
      <c r="E234" s="318">
        <v>8720</v>
      </c>
      <c r="F234" s="318">
        <v>1350</v>
      </c>
      <c r="G234" s="318">
        <v>4280</v>
      </c>
    </row>
    <row r="235" s="303" customFormat="1" ht="14.25" customHeight="1" spans="1:7">
      <c r="A235" s="318" t="s">
        <v>284</v>
      </c>
      <c r="B235" s="318" t="s">
        <v>2268</v>
      </c>
      <c r="C235" s="318">
        <v>7620</v>
      </c>
      <c r="D235" s="318">
        <v>7580</v>
      </c>
      <c r="E235" s="318">
        <v>9360</v>
      </c>
      <c r="F235" s="318">
        <v>1490</v>
      </c>
      <c r="G235" s="318">
        <v>4650</v>
      </c>
    </row>
    <row r="236" s="303" customFormat="1" ht="14.25" customHeight="1" spans="1:7">
      <c r="A236" s="318" t="s">
        <v>284</v>
      </c>
      <c r="B236" s="318" t="s">
        <v>2282</v>
      </c>
      <c r="C236" s="318">
        <v>6650</v>
      </c>
      <c r="D236" s="318">
        <v>6630</v>
      </c>
      <c r="E236" s="318">
        <v>8330</v>
      </c>
      <c r="F236" s="318">
        <v>1250</v>
      </c>
      <c r="G236" s="318">
        <v>4070</v>
      </c>
    </row>
    <row r="237" s="303" customFormat="1" ht="14.25" customHeight="1" spans="1:7">
      <c r="A237" s="318" t="s">
        <v>284</v>
      </c>
      <c r="B237" s="318" t="s">
        <v>2294</v>
      </c>
      <c r="C237" s="318">
        <v>5850</v>
      </c>
      <c r="D237" s="318">
        <v>5820</v>
      </c>
      <c r="E237" s="318">
        <v>7260</v>
      </c>
      <c r="F237" s="318">
        <v>1140</v>
      </c>
      <c r="G237" s="318">
        <v>3570</v>
      </c>
    </row>
    <row r="238" s="303" customFormat="1" ht="14.25" customHeight="1" spans="1:7">
      <c r="A238" s="318" t="s">
        <v>284</v>
      </c>
      <c r="B238" s="318" t="s">
        <v>2306</v>
      </c>
      <c r="C238" s="318">
        <v>6920</v>
      </c>
      <c r="D238" s="318">
        <v>6890</v>
      </c>
      <c r="E238" s="318">
        <v>8640</v>
      </c>
      <c r="F238" s="318">
        <v>1310</v>
      </c>
      <c r="G238" s="318">
        <v>4230</v>
      </c>
    </row>
    <row r="239" s="303" customFormat="1" ht="14.25" customHeight="1" spans="1:7">
      <c r="A239" s="318" t="s">
        <v>284</v>
      </c>
      <c r="B239" s="318" t="s">
        <v>2317</v>
      </c>
      <c r="C239" s="318">
        <v>6780</v>
      </c>
      <c r="D239" s="318">
        <v>6750</v>
      </c>
      <c r="E239" s="318">
        <v>8440</v>
      </c>
      <c r="F239" s="318">
        <v>1160</v>
      </c>
      <c r="G239" s="318">
        <v>4140</v>
      </c>
    </row>
    <row r="240" s="303" customFormat="1" ht="14.25" customHeight="1" spans="1:7">
      <c r="A240" s="318" t="s">
        <v>284</v>
      </c>
      <c r="B240" s="318" t="s">
        <v>2328</v>
      </c>
      <c r="C240" s="318">
        <v>5420</v>
      </c>
      <c r="D240" s="318">
        <v>5380</v>
      </c>
      <c r="E240" s="318">
        <v>6640</v>
      </c>
      <c r="F240" s="318">
        <v>1020</v>
      </c>
      <c r="G240" s="318">
        <v>3300</v>
      </c>
    </row>
    <row r="241" s="303" customFormat="1" ht="14.25" customHeight="1" spans="1:7">
      <c r="A241" s="318" t="s">
        <v>284</v>
      </c>
      <c r="B241" s="318" t="s">
        <v>2339</v>
      </c>
      <c r="C241" s="318">
        <v>6660</v>
      </c>
      <c r="D241" s="318">
        <v>6640</v>
      </c>
      <c r="E241" s="318">
        <v>8340</v>
      </c>
      <c r="F241" s="318">
        <v>1130</v>
      </c>
      <c r="G241" s="318">
        <v>4080</v>
      </c>
    </row>
    <row r="242" s="303" customFormat="1" ht="14.25" customHeight="1" spans="1:7">
      <c r="A242" s="318" t="s">
        <v>284</v>
      </c>
      <c r="B242" s="318" t="s">
        <v>2349</v>
      </c>
      <c r="C242" s="318">
        <v>6580</v>
      </c>
      <c r="D242" s="318">
        <v>6550</v>
      </c>
      <c r="E242" s="318">
        <v>8090</v>
      </c>
      <c r="F242" s="318">
        <v>1240</v>
      </c>
      <c r="G242" s="318">
        <v>4020</v>
      </c>
    </row>
    <row r="243" s="303" customFormat="1" ht="14.25" customHeight="1" spans="1:7">
      <c r="A243" s="318" t="s">
        <v>284</v>
      </c>
      <c r="B243" s="318" t="s">
        <v>2359</v>
      </c>
      <c r="C243" s="318">
        <v>6000</v>
      </c>
      <c r="D243" s="318">
        <v>5970</v>
      </c>
      <c r="E243" s="318">
        <v>7370</v>
      </c>
      <c r="F243" s="318">
        <v>1070</v>
      </c>
      <c r="G243" s="318">
        <v>3670</v>
      </c>
    </row>
    <row r="244" s="303" customFormat="1" ht="14.25" customHeight="1" spans="1:7">
      <c r="A244" s="318" t="s">
        <v>284</v>
      </c>
      <c r="B244" s="318" t="s">
        <v>2369</v>
      </c>
      <c r="C244" s="318">
        <v>5840</v>
      </c>
      <c r="D244" s="318">
        <v>5810</v>
      </c>
      <c r="E244" s="318">
        <v>7240</v>
      </c>
      <c r="F244" s="318">
        <v>1100</v>
      </c>
      <c r="G244" s="318">
        <v>3560</v>
      </c>
    </row>
    <row r="245" s="303" customFormat="1" ht="14.25" customHeight="1" spans="1:7">
      <c r="A245" s="318" t="s">
        <v>284</v>
      </c>
      <c r="B245" s="318" t="s">
        <v>2379</v>
      </c>
      <c r="C245" s="318">
        <v>6040</v>
      </c>
      <c r="D245" s="318">
        <v>6000</v>
      </c>
      <c r="E245" s="318">
        <v>7420</v>
      </c>
      <c r="F245" s="318">
        <v>1140</v>
      </c>
      <c r="G245" s="318">
        <v>3690</v>
      </c>
    </row>
    <row r="246" s="303" customFormat="1" ht="14.25" customHeight="1" spans="1:7">
      <c r="A246" s="318" t="s">
        <v>284</v>
      </c>
      <c r="B246" s="318" t="s">
        <v>2389</v>
      </c>
      <c r="C246" s="318">
        <v>5890</v>
      </c>
      <c r="D246" s="318">
        <v>5860</v>
      </c>
      <c r="E246" s="318">
        <v>7300</v>
      </c>
      <c r="F246" s="318">
        <v>1110</v>
      </c>
      <c r="G246" s="318">
        <v>3590</v>
      </c>
    </row>
    <row r="247" s="303" customFormat="1" ht="14.25" customHeight="1" spans="1:7">
      <c r="A247" s="318" t="s">
        <v>284</v>
      </c>
      <c r="B247" s="318" t="s">
        <v>2399</v>
      </c>
      <c r="C247" s="318">
        <v>6480</v>
      </c>
      <c r="D247" s="318">
        <v>6450</v>
      </c>
      <c r="E247" s="318">
        <v>8010</v>
      </c>
      <c r="F247" s="318">
        <v>1170</v>
      </c>
      <c r="G247" s="318">
        <v>3960</v>
      </c>
    </row>
    <row r="248" s="303" customFormat="1" ht="14.25" customHeight="1" spans="1:7">
      <c r="A248" s="318" t="s">
        <v>284</v>
      </c>
      <c r="B248" s="318" t="s">
        <v>2409</v>
      </c>
      <c r="C248" s="318">
        <v>6860</v>
      </c>
      <c r="D248" s="318">
        <v>6840</v>
      </c>
      <c r="E248" s="318">
        <v>8520</v>
      </c>
      <c r="F248" s="318">
        <v>1240</v>
      </c>
      <c r="G248" s="318">
        <v>4200</v>
      </c>
    </row>
    <row r="249" s="303" customFormat="1" ht="14.25" customHeight="1" spans="1:7">
      <c r="A249" s="318" t="s">
        <v>284</v>
      </c>
      <c r="B249" s="318" t="s">
        <v>2419</v>
      </c>
      <c r="C249" s="318">
        <v>7180</v>
      </c>
      <c r="D249" s="318">
        <v>7140</v>
      </c>
      <c r="E249" s="318">
        <v>8900</v>
      </c>
      <c r="F249" s="318">
        <v>1350</v>
      </c>
      <c r="G249" s="318">
        <v>4380</v>
      </c>
    </row>
    <row r="250" s="303" customFormat="1" ht="14.25" customHeight="1" spans="1:7">
      <c r="A250" s="318" t="s">
        <v>284</v>
      </c>
      <c r="B250" s="318" t="s">
        <v>2429</v>
      </c>
      <c r="C250" s="318">
        <v>6880</v>
      </c>
      <c r="D250" s="318">
        <v>6860</v>
      </c>
      <c r="E250" s="318">
        <v>8550</v>
      </c>
      <c r="F250" s="318">
        <v>1220</v>
      </c>
      <c r="G250" s="318">
        <v>4210</v>
      </c>
    </row>
    <row r="251" s="303" customFormat="1" ht="14.25" customHeight="1" spans="1:7">
      <c r="A251" s="318" t="s">
        <v>284</v>
      </c>
      <c r="B251" s="318" t="s">
        <v>2439</v>
      </c>
      <c r="C251" s="318"/>
      <c r="D251" s="318"/>
      <c r="E251" s="318"/>
      <c r="F251" s="318">
        <v>1100</v>
      </c>
      <c r="G251" s="318"/>
    </row>
    <row r="252" s="303" customFormat="1" ht="14.25" customHeight="1" spans="1:7">
      <c r="A252" s="318" t="s">
        <v>284</v>
      </c>
      <c r="B252" s="318" t="s">
        <v>2449</v>
      </c>
      <c r="C252" s="318">
        <v>7240</v>
      </c>
      <c r="D252" s="318">
        <v>7200</v>
      </c>
      <c r="E252" s="318">
        <v>9040</v>
      </c>
      <c r="F252" s="318">
        <v>1380</v>
      </c>
      <c r="G252" s="318">
        <v>4420</v>
      </c>
    </row>
    <row r="253" s="303" customFormat="1" ht="14.25" customHeight="1" spans="1:7">
      <c r="A253" s="318" t="s">
        <v>284</v>
      </c>
      <c r="B253" s="318" t="s">
        <v>2459</v>
      </c>
      <c r="C253" s="318">
        <v>6670</v>
      </c>
      <c r="D253" s="318">
        <v>6650</v>
      </c>
      <c r="E253" s="318">
        <v>8350</v>
      </c>
      <c r="F253" s="318">
        <v>1260</v>
      </c>
      <c r="G253" s="318">
        <v>4080</v>
      </c>
    </row>
    <row r="254" s="303" customFormat="1" ht="14.25" customHeight="1" spans="1:7">
      <c r="A254" s="318" t="s">
        <v>284</v>
      </c>
      <c r="B254" s="318" t="s">
        <v>2468</v>
      </c>
      <c r="C254" s="318">
        <v>7630</v>
      </c>
      <c r="D254" s="318">
        <v>7590</v>
      </c>
      <c r="E254" s="318">
        <v>9380</v>
      </c>
      <c r="F254" s="318">
        <v>1320</v>
      </c>
      <c r="G254" s="318">
        <v>4660</v>
      </c>
    </row>
    <row r="255" s="303" customFormat="1" ht="14.25" customHeight="1" spans="1:7">
      <c r="A255" s="318" t="s">
        <v>284</v>
      </c>
      <c r="B255" s="318" t="s">
        <v>2476</v>
      </c>
      <c r="C255" s="318">
        <v>6940</v>
      </c>
      <c r="D255" s="318">
        <v>6890</v>
      </c>
      <c r="E255" s="318">
        <v>8650</v>
      </c>
      <c r="F255" s="318">
        <v>1210</v>
      </c>
      <c r="G255" s="318">
        <v>4230</v>
      </c>
    </row>
    <row r="256" s="303" customFormat="1" ht="14.25" customHeight="1" spans="1:7">
      <c r="A256" s="318" t="s">
        <v>284</v>
      </c>
      <c r="B256" s="318" t="s">
        <v>2484</v>
      </c>
      <c r="C256" s="318">
        <v>7520</v>
      </c>
      <c r="D256" s="318">
        <v>7490</v>
      </c>
      <c r="E256" s="318">
        <v>9240</v>
      </c>
      <c r="F256" s="318">
        <v>1270</v>
      </c>
      <c r="G256" s="318">
        <v>4590</v>
      </c>
    </row>
    <row r="257" s="303" customFormat="1" ht="14.25" customHeight="1" spans="1:7">
      <c r="A257" s="318" t="s">
        <v>284</v>
      </c>
      <c r="B257" s="318" t="s">
        <v>2492</v>
      </c>
      <c r="C257" s="318">
        <v>6280</v>
      </c>
      <c r="D257" s="318">
        <v>6230</v>
      </c>
      <c r="E257" s="318">
        <v>7740</v>
      </c>
      <c r="F257" s="318">
        <v>1080</v>
      </c>
      <c r="G257" s="318">
        <v>3830</v>
      </c>
    </row>
    <row r="258" s="303" customFormat="1" ht="14.25" customHeight="1" spans="1:7">
      <c r="A258" s="318" t="s">
        <v>284</v>
      </c>
      <c r="B258" s="318" t="s">
        <v>2500</v>
      </c>
      <c r="C258" s="318">
        <v>6190</v>
      </c>
      <c r="D258" s="318">
        <v>6160</v>
      </c>
      <c r="E258" s="318">
        <v>7680</v>
      </c>
      <c r="F258" s="318">
        <v>1170</v>
      </c>
      <c r="G258" s="318">
        <v>3780</v>
      </c>
    </row>
    <row r="259" s="303" customFormat="1" ht="14.25" customHeight="1" spans="1:7">
      <c r="A259" s="318" t="s">
        <v>284</v>
      </c>
      <c r="B259" s="318" t="s">
        <v>524</v>
      </c>
      <c r="C259" s="318">
        <v>7610</v>
      </c>
      <c r="D259" s="318">
        <v>7570</v>
      </c>
      <c r="E259" s="318">
        <v>9350</v>
      </c>
      <c r="F259" s="318">
        <v>1350</v>
      </c>
      <c r="G259" s="318">
        <v>4650</v>
      </c>
    </row>
    <row r="260" s="303" customFormat="1" ht="14.25" customHeight="1" spans="1:7">
      <c r="A260" s="318" t="s">
        <v>284</v>
      </c>
      <c r="B260" s="318" t="s">
        <v>2513</v>
      </c>
      <c r="C260" s="318">
        <v>6920</v>
      </c>
      <c r="D260" s="318">
        <v>6880</v>
      </c>
      <c r="E260" s="318">
        <v>8380</v>
      </c>
      <c r="F260" s="318">
        <v>1160</v>
      </c>
      <c r="G260" s="318">
        <v>4220</v>
      </c>
    </row>
    <row r="261" s="303" customFormat="1" ht="14.25" customHeight="1" spans="1:7">
      <c r="A261" s="318" t="s">
        <v>284</v>
      </c>
      <c r="B261" s="318" t="s">
        <v>2520</v>
      </c>
      <c r="C261" s="318">
        <v>6850</v>
      </c>
      <c r="D261" s="318">
        <v>6810</v>
      </c>
      <c r="E261" s="318">
        <v>8290</v>
      </c>
      <c r="F261" s="318">
        <v>1130</v>
      </c>
      <c r="G261" s="318">
        <v>4180</v>
      </c>
    </row>
    <row r="262" s="303" customFormat="1" ht="14.25" customHeight="1" spans="1:7">
      <c r="A262" s="318" t="s">
        <v>284</v>
      </c>
      <c r="B262" s="318" t="s">
        <v>2527</v>
      </c>
      <c r="C262" s="318">
        <v>5860</v>
      </c>
      <c r="D262" s="318">
        <v>5820</v>
      </c>
      <c r="E262" s="318">
        <v>7640</v>
      </c>
      <c r="F262" s="318">
        <v>1070</v>
      </c>
      <c r="G262" s="318">
        <v>3570</v>
      </c>
    </row>
    <row r="263" s="303" customFormat="1" ht="14.25" customHeight="1" spans="1:7">
      <c r="A263" s="318" t="s">
        <v>284</v>
      </c>
      <c r="B263" s="318" t="s">
        <v>2534</v>
      </c>
      <c r="C263" s="318">
        <v>5870</v>
      </c>
      <c r="D263" s="318">
        <v>5840</v>
      </c>
      <c r="E263" s="318">
        <v>7270</v>
      </c>
      <c r="F263" s="318">
        <v>1190</v>
      </c>
      <c r="G263" s="318">
        <v>3580</v>
      </c>
    </row>
    <row r="264" s="303" customFormat="1" ht="14.25" customHeight="1" spans="1:7">
      <c r="A264" s="318" t="s">
        <v>284</v>
      </c>
      <c r="B264" s="318" t="s">
        <v>2541</v>
      </c>
      <c r="C264" s="318">
        <v>6190</v>
      </c>
      <c r="D264" s="318">
        <v>6150</v>
      </c>
      <c r="E264" s="318">
        <v>7660</v>
      </c>
      <c r="F264" s="318">
        <v>1160</v>
      </c>
      <c r="G264" s="318">
        <v>3770</v>
      </c>
    </row>
    <row r="265" s="303" customFormat="1" ht="14.25" customHeight="1" spans="1:7">
      <c r="A265" s="318" t="s">
        <v>284</v>
      </c>
      <c r="B265" s="318" t="s">
        <v>2548</v>
      </c>
      <c r="C265" s="318"/>
      <c r="D265" s="318"/>
      <c r="E265" s="318"/>
      <c r="F265" s="318">
        <v>1500</v>
      </c>
      <c r="G265" s="318"/>
    </row>
    <row r="266" s="303" customFormat="1" ht="14.25" customHeight="1" spans="1:7">
      <c r="A266" s="318" t="s">
        <v>284</v>
      </c>
      <c r="B266" s="318" t="s">
        <v>2553</v>
      </c>
      <c r="C266" s="318"/>
      <c r="D266" s="318"/>
      <c r="E266" s="318"/>
      <c r="F266" s="318">
        <v>1500</v>
      </c>
      <c r="G266" s="318"/>
    </row>
    <row r="267" s="303" customFormat="1" ht="14.25" customHeight="1" spans="1:7">
      <c r="A267" s="318" t="s">
        <v>284</v>
      </c>
      <c r="B267" s="318" t="s">
        <v>2558</v>
      </c>
      <c r="C267" s="318"/>
      <c r="D267" s="318"/>
      <c r="E267" s="318"/>
      <c r="F267" s="318">
        <v>1500</v>
      </c>
      <c r="G267" s="318"/>
    </row>
    <row r="268" s="303" customFormat="1" ht="14.25" customHeight="1" spans="1:7">
      <c r="A268" s="318" t="s">
        <v>284</v>
      </c>
      <c r="B268" s="318" t="s">
        <v>2563</v>
      </c>
      <c r="C268" s="318"/>
      <c r="D268" s="318"/>
      <c r="E268" s="318"/>
      <c r="F268" s="318">
        <v>1290</v>
      </c>
      <c r="G268" s="318"/>
    </row>
    <row r="269" s="303" customFormat="1" ht="14.25" customHeight="1" spans="1:7">
      <c r="A269" s="318" t="s">
        <v>284</v>
      </c>
      <c r="B269" s="318" t="s">
        <v>2568</v>
      </c>
      <c r="C269" s="318"/>
      <c r="D269" s="318"/>
      <c r="E269" s="318"/>
      <c r="F269" s="318">
        <v>1150</v>
      </c>
      <c r="G269" s="318"/>
    </row>
    <row r="270" s="303" customFormat="1" ht="14.25" customHeight="1" spans="1:7">
      <c r="A270" s="318" t="s">
        <v>284</v>
      </c>
      <c r="B270" s="318" t="s">
        <v>2573</v>
      </c>
      <c r="C270" s="318"/>
      <c r="D270" s="318"/>
      <c r="E270" s="318"/>
      <c r="F270" s="318">
        <v>1380</v>
      </c>
      <c r="G270" s="318"/>
    </row>
    <row r="271" s="303" customFormat="1" ht="14.25" customHeight="1" spans="1:7">
      <c r="A271" s="318" t="s">
        <v>284</v>
      </c>
      <c r="B271" s="318" t="s">
        <v>2578</v>
      </c>
      <c r="C271" s="318"/>
      <c r="D271" s="318"/>
      <c r="E271" s="318"/>
      <c r="F271" s="318">
        <v>1460</v>
      </c>
      <c r="G271" s="318"/>
    </row>
    <row r="272" s="303" customFormat="1" ht="14.25" customHeight="1" spans="1:7">
      <c r="A272" s="318" t="s">
        <v>284</v>
      </c>
      <c r="B272" s="318" t="s">
        <v>2583</v>
      </c>
      <c r="C272" s="318"/>
      <c r="D272" s="318"/>
      <c r="E272" s="318"/>
      <c r="F272" s="318">
        <v>1460</v>
      </c>
      <c r="G272" s="318"/>
    </row>
    <row r="273" s="303" customFormat="1" ht="14.25" customHeight="1" spans="1:7">
      <c r="A273" s="318" t="s">
        <v>284</v>
      </c>
      <c r="B273" s="318" t="s">
        <v>2588</v>
      </c>
      <c r="C273" s="318"/>
      <c r="D273" s="318"/>
      <c r="E273" s="318"/>
      <c r="F273" s="318">
        <v>1490</v>
      </c>
      <c r="G273" s="318"/>
    </row>
    <row r="274" s="303" customFormat="1" ht="14.25" customHeight="1" spans="1:7">
      <c r="A274" s="318" t="s">
        <v>284</v>
      </c>
      <c r="B274" s="318" t="s">
        <v>2592</v>
      </c>
      <c r="C274" s="318"/>
      <c r="D274" s="318"/>
      <c r="E274" s="318"/>
      <c r="F274" s="318">
        <v>1490</v>
      </c>
      <c r="G274" s="318"/>
    </row>
    <row r="275" s="303" customFormat="1" ht="14.25" customHeight="1" spans="1:7">
      <c r="A275" s="318" t="s">
        <v>284</v>
      </c>
      <c r="B275" s="318" t="s">
        <v>2596</v>
      </c>
      <c r="C275" s="318"/>
      <c r="D275" s="318"/>
      <c r="E275" s="318"/>
      <c r="F275" s="318">
        <v>1220</v>
      </c>
      <c r="G275" s="318"/>
    </row>
    <row r="276" s="303" customFormat="1" ht="14.25" customHeight="1" spans="1:7">
      <c r="A276" s="320" t="s">
        <v>284</v>
      </c>
      <c r="B276" s="323" t="s">
        <v>2600</v>
      </c>
      <c r="C276" s="324"/>
      <c r="D276" s="324"/>
      <c r="E276" s="324"/>
      <c r="F276" s="324">
        <v>1380</v>
      </c>
      <c r="G276" s="324"/>
    </row>
    <row r="277" s="303" customFormat="1" ht="14.25" customHeight="1" spans="1:7">
      <c r="A277" s="316" t="s">
        <v>288</v>
      </c>
      <c r="B277" s="317" t="s">
        <v>2256</v>
      </c>
      <c r="C277" s="317">
        <v>5790</v>
      </c>
      <c r="D277" s="317">
        <v>5740</v>
      </c>
      <c r="E277" s="317">
        <v>6730</v>
      </c>
      <c r="F277" s="317">
        <v>1110</v>
      </c>
      <c r="G277" s="325">
        <v>3460</v>
      </c>
    </row>
    <row r="278" s="303" customFormat="1" ht="14.25" customHeight="1" spans="1:7">
      <c r="A278" s="318" t="s">
        <v>288</v>
      </c>
      <c r="B278" s="318" t="s">
        <v>2269</v>
      </c>
      <c r="C278" s="318">
        <v>5740</v>
      </c>
      <c r="D278" s="318">
        <v>5670</v>
      </c>
      <c r="E278" s="318">
        <v>6680</v>
      </c>
      <c r="F278" s="318">
        <v>1070</v>
      </c>
      <c r="G278" s="326">
        <v>3420</v>
      </c>
    </row>
    <row r="279" s="303" customFormat="1" ht="14.25" customHeight="1" spans="1:7">
      <c r="A279" s="318" t="s">
        <v>288</v>
      </c>
      <c r="B279" s="318" t="s">
        <v>2283</v>
      </c>
      <c r="C279" s="318">
        <v>4760</v>
      </c>
      <c r="D279" s="318">
        <v>4720</v>
      </c>
      <c r="E279" s="318">
        <v>5540</v>
      </c>
      <c r="F279" s="318">
        <v>810</v>
      </c>
      <c r="G279" s="326">
        <v>2850</v>
      </c>
    </row>
    <row r="280" s="303" customFormat="1" ht="14.25" customHeight="1" spans="1:7">
      <c r="A280" s="318" t="s">
        <v>288</v>
      </c>
      <c r="B280" s="318" t="s">
        <v>2295</v>
      </c>
      <c r="C280" s="318">
        <v>4010</v>
      </c>
      <c r="D280" s="318">
        <v>3950</v>
      </c>
      <c r="E280" s="318">
        <v>4710</v>
      </c>
      <c r="F280" s="318">
        <v>800</v>
      </c>
      <c r="G280" s="326">
        <v>2390</v>
      </c>
    </row>
    <row r="281" s="303" customFormat="1" ht="14.25" customHeight="1" spans="1:7">
      <c r="A281" s="318" t="s">
        <v>288</v>
      </c>
      <c r="B281" s="318" t="s">
        <v>2307</v>
      </c>
      <c r="C281" s="318">
        <v>4480</v>
      </c>
      <c r="D281" s="318">
        <v>4420</v>
      </c>
      <c r="E281" s="318">
        <v>5230</v>
      </c>
      <c r="F281" s="318">
        <v>870</v>
      </c>
      <c r="G281" s="326">
        <v>2660</v>
      </c>
    </row>
    <row r="282" s="303" customFormat="1" ht="14.25" customHeight="1" spans="1:7">
      <c r="A282" s="318" t="s">
        <v>288</v>
      </c>
      <c r="B282" s="318" t="s">
        <v>2318</v>
      </c>
      <c r="C282" s="318">
        <v>5360</v>
      </c>
      <c r="D282" s="318">
        <v>5300</v>
      </c>
      <c r="E282" s="318">
        <v>6190</v>
      </c>
      <c r="F282" s="318">
        <v>950</v>
      </c>
      <c r="G282" s="326">
        <v>3190</v>
      </c>
    </row>
    <row r="283" s="303" customFormat="1" ht="14.25" customHeight="1" spans="1:7">
      <c r="A283" s="318" t="s">
        <v>288</v>
      </c>
      <c r="B283" s="318" t="s">
        <v>2329</v>
      </c>
      <c r="C283" s="318">
        <v>4950</v>
      </c>
      <c r="D283" s="318">
        <v>4900</v>
      </c>
      <c r="E283" s="318">
        <v>5720</v>
      </c>
      <c r="F283" s="318">
        <v>920</v>
      </c>
      <c r="G283" s="326">
        <v>2950</v>
      </c>
    </row>
    <row r="284" s="303" customFormat="1" ht="14.25" customHeight="1" spans="1:7">
      <c r="A284" s="318" t="s">
        <v>288</v>
      </c>
      <c r="B284" s="318" t="s">
        <v>2340</v>
      </c>
      <c r="C284" s="318">
        <v>5610</v>
      </c>
      <c r="D284" s="318">
        <v>5560</v>
      </c>
      <c r="E284" s="318">
        <v>6520</v>
      </c>
      <c r="F284" s="318">
        <v>1030</v>
      </c>
      <c r="G284" s="326">
        <v>3360</v>
      </c>
    </row>
    <row r="285" s="303" customFormat="1" ht="14.25" customHeight="1" spans="1:7">
      <c r="A285" s="318" t="s">
        <v>288</v>
      </c>
      <c r="B285" s="318" t="s">
        <v>2350</v>
      </c>
      <c r="C285" s="318">
        <v>5340</v>
      </c>
      <c r="D285" s="318">
        <v>5290</v>
      </c>
      <c r="E285" s="318">
        <v>6170</v>
      </c>
      <c r="F285" s="318">
        <v>1080</v>
      </c>
      <c r="G285" s="326">
        <v>3180</v>
      </c>
    </row>
    <row r="286" s="303" customFormat="1" ht="14.25" customHeight="1" spans="1:7">
      <c r="A286" s="318" t="s">
        <v>288</v>
      </c>
      <c r="B286" s="318" t="s">
        <v>2360</v>
      </c>
      <c r="C286" s="318">
        <v>4890</v>
      </c>
      <c r="D286" s="318">
        <v>4840</v>
      </c>
      <c r="E286" s="318">
        <v>5640</v>
      </c>
      <c r="F286" s="318">
        <v>960</v>
      </c>
      <c r="G286" s="326">
        <v>2910</v>
      </c>
    </row>
    <row r="287" s="303" customFormat="1" ht="14.25" customHeight="1" spans="1:7">
      <c r="A287" s="318" t="s">
        <v>288</v>
      </c>
      <c r="B287" s="318" t="s">
        <v>2370</v>
      </c>
      <c r="C287" s="318">
        <v>4960</v>
      </c>
      <c r="D287" s="318">
        <v>4920</v>
      </c>
      <c r="E287" s="318">
        <v>5730</v>
      </c>
      <c r="F287" s="318">
        <v>930</v>
      </c>
      <c r="G287" s="326">
        <v>2960</v>
      </c>
    </row>
    <row r="288" s="303" customFormat="1" ht="14.25" customHeight="1" spans="1:7">
      <c r="A288" s="318" t="s">
        <v>288</v>
      </c>
      <c r="B288" s="318" t="s">
        <v>2380</v>
      </c>
      <c r="C288" s="318">
        <v>4350</v>
      </c>
      <c r="D288" s="318">
        <v>4300</v>
      </c>
      <c r="E288" s="318">
        <v>4900</v>
      </c>
      <c r="F288" s="318">
        <v>820</v>
      </c>
      <c r="G288" s="326">
        <v>2590</v>
      </c>
    </row>
    <row r="289" s="303" customFormat="1" ht="14.25" customHeight="1" spans="1:7">
      <c r="A289" s="318" t="s">
        <v>288</v>
      </c>
      <c r="B289" s="318" t="s">
        <v>2390</v>
      </c>
      <c r="C289" s="318">
        <v>5230</v>
      </c>
      <c r="D289" s="318">
        <v>5170</v>
      </c>
      <c r="E289" s="318">
        <v>6060</v>
      </c>
      <c r="F289" s="318">
        <v>900</v>
      </c>
      <c r="G289" s="326">
        <v>3120</v>
      </c>
    </row>
    <row r="290" s="303" customFormat="1" ht="14.25" customHeight="1" spans="1:7">
      <c r="A290" s="318" t="s">
        <v>288</v>
      </c>
      <c r="B290" s="318" t="s">
        <v>2400</v>
      </c>
      <c r="C290" s="318">
        <v>5550</v>
      </c>
      <c r="D290" s="318">
        <v>5500</v>
      </c>
      <c r="E290" s="318">
        <v>6440</v>
      </c>
      <c r="F290" s="318">
        <v>960</v>
      </c>
      <c r="G290" s="326">
        <v>3320</v>
      </c>
    </row>
    <row r="291" s="303" customFormat="1" ht="14.25" customHeight="1" spans="1:7">
      <c r="A291" s="318" t="s">
        <v>288</v>
      </c>
      <c r="B291" s="318" t="s">
        <v>2410</v>
      </c>
      <c r="C291" s="318">
        <v>5440</v>
      </c>
      <c r="D291" s="318">
        <v>5400</v>
      </c>
      <c r="E291" s="318">
        <v>6320</v>
      </c>
      <c r="F291" s="318">
        <v>930</v>
      </c>
      <c r="G291" s="326">
        <v>3250</v>
      </c>
    </row>
    <row r="292" s="303" customFormat="1" ht="14.25" customHeight="1" spans="1:7">
      <c r="A292" s="318" t="s">
        <v>288</v>
      </c>
      <c r="B292" s="318" t="s">
        <v>2420</v>
      </c>
      <c r="C292" s="318">
        <v>5400</v>
      </c>
      <c r="D292" s="318">
        <v>5360</v>
      </c>
      <c r="E292" s="318">
        <v>6270</v>
      </c>
      <c r="F292" s="318">
        <v>1040</v>
      </c>
      <c r="G292" s="326">
        <v>3230</v>
      </c>
    </row>
    <row r="293" s="303" customFormat="1" ht="14.25" customHeight="1" spans="1:7">
      <c r="A293" s="318" t="s">
        <v>288</v>
      </c>
      <c r="B293" s="318" t="s">
        <v>2430</v>
      </c>
      <c r="C293" s="318">
        <v>5320</v>
      </c>
      <c r="D293" s="318">
        <v>5270</v>
      </c>
      <c r="E293" s="318">
        <v>6160</v>
      </c>
      <c r="F293" s="318">
        <v>990</v>
      </c>
      <c r="G293" s="326">
        <v>3170</v>
      </c>
    </row>
    <row r="294" s="303" customFormat="1" ht="14.25" customHeight="1" spans="1:7">
      <c r="A294" s="318" t="s">
        <v>288</v>
      </c>
      <c r="B294" s="318" t="s">
        <v>2440</v>
      </c>
      <c r="C294" s="318">
        <v>5260</v>
      </c>
      <c r="D294" s="318">
        <v>5210</v>
      </c>
      <c r="E294" s="318">
        <v>6100</v>
      </c>
      <c r="F294" s="318">
        <v>950</v>
      </c>
      <c r="G294" s="326">
        <v>3150</v>
      </c>
    </row>
    <row r="295" s="303" customFormat="1" ht="14.25" customHeight="1" spans="1:7">
      <c r="A295" s="318" t="s">
        <v>288</v>
      </c>
      <c r="B295" s="318" t="s">
        <v>2450</v>
      </c>
      <c r="C295" s="318">
        <v>5610</v>
      </c>
      <c r="D295" s="318">
        <v>5570</v>
      </c>
      <c r="E295" s="318">
        <v>6530</v>
      </c>
      <c r="F295" s="318">
        <v>960</v>
      </c>
      <c r="G295" s="326">
        <v>3360</v>
      </c>
    </row>
    <row r="296" s="303" customFormat="1" ht="14.25" customHeight="1" spans="1:7">
      <c r="A296" s="318" t="s">
        <v>288</v>
      </c>
      <c r="B296" s="318" t="s">
        <v>2460</v>
      </c>
      <c r="C296" s="318">
        <v>5540</v>
      </c>
      <c r="D296" s="318">
        <v>5490</v>
      </c>
      <c r="E296" s="318">
        <v>6430</v>
      </c>
      <c r="F296" s="318">
        <v>980</v>
      </c>
      <c r="G296" s="326">
        <v>3310</v>
      </c>
    </row>
    <row r="297" s="303" customFormat="1" ht="14.25" customHeight="1" spans="1:7">
      <c r="A297" s="318" t="s">
        <v>288</v>
      </c>
      <c r="B297" s="318" t="s">
        <v>2469</v>
      </c>
      <c r="C297" s="318">
        <v>5480</v>
      </c>
      <c r="D297" s="318">
        <v>5420</v>
      </c>
      <c r="E297" s="318">
        <v>6370</v>
      </c>
      <c r="F297" s="318">
        <v>990</v>
      </c>
      <c r="G297" s="326">
        <v>3270</v>
      </c>
    </row>
    <row r="298" s="303" customFormat="1" ht="14.25" customHeight="1" spans="1:7">
      <c r="A298" s="318" t="s">
        <v>288</v>
      </c>
      <c r="B298" s="318" t="s">
        <v>2477</v>
      </c>
      <c r="C298" s="318">
        <v>5090</v>
      </c>
      <c r="D298" s="318">
        <v>5050</v>
      </c>
      <c r="E298" s="318">
        <v>5910</v>
      </c>
      <c r="F298" s="318">
        <v>900</v>
      </c>
      <c r="G298" s="326">
        <v>3040</v>
      </c>
    </row>
    <row r="299" s="303" customFormat="1" ht="14.25" customHeight="1" spans="1:7">
      <c r="A299" s="318" t="s">
        <v>288</v>
      </c>
      <c r="B299" s="332" t="s">
        <v>2485</v>
      </c>
      <c r="C299" s="318">
        <v>5430</v>
      </c>
      <c r="D299" s="318">
        <v>5380</v>
      </c>
      <c r="E299" s="318">
        <v>6280</v>
      </c>
      <c r="F299" s="318">
        <v>1000</v>
      </c>
      <c r="G299" s="326">
        <v>3240</v>
      </c>
    </row>
    <row r="300" s="303" customFormat="1" ht="14.25" customHeight="1" spans="1:7">
      <c r="A300" s="318" t="s">
        <v>288</v>
      </c>
      <c r="B300" s="332" t="s">
        <v>2493</v>
      </c>
      <c r="C300" s="318">
        <v>4740</v>
      </c>
      <c r="D300" s="318">
        <v>4680</v>
      </c>
      <c r="E300" s="318">
        <v>5450</v>
      </c>
      <c r="F300" s="318">
        <v>900</v>
      </c>
      <c r="G300" s="326">
        <v>2830</v>
      </c>
    </row>
    <row r="301" s="303" customFormat="1" ht="14.25" customHeight="1" spans="1:7">
      <c r="A301" s="318" t="s">
        <v>288</v>
      </c>
      <c r="B301" s="332" t="s">
        <v>2501</v>
      </c>
      <c r="C301" s="318">
        <v>4870</v>
      </c>
      <c r="D301" s="318">
        <v>4810</v>
      </c>
      <c r="E301" s="318">
        <v>5560</v>
      </c>
      <c r="F301" s="318">
        <v>990</v>
      </c>
      <c r="G301" s="326">
        <v>2910</v>
      </c>
    </row>
    <row r="302" s="303" customFormat="1" ht="14.25" customHeight="1" spans="1:7">
      <c r="A302" s="318" t="s">
        <v>288</v>
      </c>
      <c r="B302" s="318" t="s">
        <v>2507</v>
      </c>
      <c r="C302" s="318">
        <v>5520</v>
      </c>
      <c r="D302" s="318">
        <v>5470</v>
      </c>
      <c r="E302" s="318">
        <v>6410</v>
      </c>
      <c r="F302" s="318">
        <v>950</v>
      </c>
      <c r="G302" s="326">
        <v>3300</v>
      </c>
    </row>
    <row r="303" s="303" customFormat="1" ht="14.25" customHeight="1" spans="1:7">
      <c r="A303" s="318" t="s">
        <v>288</v>
      </c>
      <c r="B303" s="318" t="s">
        <v>2514</v>
      </c>
      <c r="C303" s="318">
        <v>5630</v>
      </c>
      <c r="D303" s="318">
        <v>5590</v>
      </c>
      <c r="E303" s="318">
        <v>6550</v>
      </c>
      <c r="F303" s="318">
        <v>1010</v>
      </c>
      <c r="G303" s="326">
        <v>3370</v>
      </c>
    </row>
    <row r="304" s="303" customFormat="1" ht="14.25" customHeight="1" spans="1:7">
      <c r="A304" s="318" t="s">
        <v>288</v>
      </c>
      <c r="B304" s="318" t="s">
        <v>2521</v>
      </c>
      <c r="C304" s="318">
        <v>5680</v>
      </c>
      <c r="D304" s="318">
        <v>5620</v>
      </c>
      <c r="E304" s="318">
        <v>6620</v>
      </c>
      <c r="F304" s="318">
        <v>1050</v>
      </c>
      <c r="G304" s="326">
        <v>3390</v>
      </c>
    </row>
    <row r="305" s="303" customFormat="1" ht="14.25" customHeight="1" spans="1:7">
      <c r="A305" s="318" t="s">
        <v>288</v>
      </c>
      <c r="B305" s="318" t="s">
        <v>2528</v>
      </c>
      <c r="C305" s="318">
        <v>5590</v>
      </c>
      <c r="D305" s="318">
        <v>5530</v>
      </c>
      <c r="E305" s="318">
        <v>6460</v>
      </c>
      <c r="F305" s="318">
        <v>900</v>
      </c>
      <c r="G305" s="326">
        <v>3340</v>
      </c>
    </row>
    <row r="306" s="303" customFormat="1" ht="14.25" customHeight="1" spans="1:7">
      <c r="A306" s="318" t="s">
        <v>288</v>
      </c>
      <c r="B306" s="318" t="s">
        <v>2535</v>
      </c>
      <c r="C306" s="318">
        <v>5560</v>
      </c>
      <c r="D306" s="318">
        <v>5510</v>
      </c>
      <c r="E306" s="318">
        <v>6440</v>
      </c>
      <c r="F306" s="318">
        <v>900</v>
      </c>
      <c r="G306" s="326">
        <v>3320</v>
      </c>
    </row>
    <row r="307" s="303" customFormat="1" ht="14.25" customHeight="1" spans="1:7">
      <c r="A307" s="318" t="s">
        <v>288</v>
      </c>
      <c r="B307" s="318" t="s">
        <v>2542</v>
      </c>
      <c r="C307" s="318">
        <v>5650</v>
      </c>
      <c r="D307" s="318">
        <v>5600</v>
      </c>
      <c r="E307" s="318">
        <v>6590</v>
      </c>
      <c r="F307" s="318">
        <v>930</v>
      </c>
      <c r="G307" s="326">
        <v>3380</v>
      </c>
    </row>
    <row r="308" s="303" customFormat="1" ht="14.25" customHeight="1" spans="1:7">
      <c r="A308" s="318" t="s">
        <v>288</v>
      </c>
      <c r="B308" s="318" t="s">
        <v>2549</v>
      </c>
      <c r="C308" s="318">
        <v>5620</v>
      </c>
      <c r="D308" s="318">
        <v>5580</v>
      </c>
      <c r="E308" s="318">
        <v>6540</v>
      </c>
      <c r="F308" s="318">
        <v>910</v>
      </c>
      <c r="G308" s="326">
        <v>3370</v>
      </c>
    </row>
    <row r="309" s="303" customFormat="1" ht="14.25" customHeight="1" spans="1:7">
      <c r="A309" s="318" t="s">
        <v>288</v>
      </c>
      <c r="B309" s="318" t="s">
        <v>2554</v>
      </c>
      <c r="C309" s="318">
        <v>5060</v>
      </c>
      <c r="D309" s="318">
        <v>5020</v>
      </c>
      <c r="E309" s="318">
        <v>6370</v>
      </c>
      <c r="F309" s="318">
        <v>800</v>
      </c>
      <c r="G309" s="326">
        <v>3020</v>
      </c>
    </row>
    <row r="310" s="303" customFormat="1" ht="14.25" customHeight="1" spans="1:7">
      <c r="A310" s="318" t="s">
        <v>288</v>
      </c>
      <c r="B310" s="318" t="s">
        <v>2559</v>
      </c>
      <c r="C310" s="318">
        <v>5150</v>
      </c>
      <c r="D310" s="318">
        <v>5110</v>
      </c>
      <c r="E310" s="318">
        <v>6500</v>
      </c>
      <c r="F310" s="318">
        <v>880</v>
      </c>
      <c r="G310" s="326">
        <v>3080</v>
      </c>
    </row>
    <row r="311" s="303" customFormat="1" ht="14.25" customHeight="1" spans="1:7">
      <c r="A311" s="318" t="s">
        <v>288</v>
      </c>
      <c r="B311" s="318" t="s">
        <v>2564</v>
      </c>
      <c r="C311" s="318">
        <v>4750</v>
      </c>
      <c r="D311" s="318">
        <v>4710</v>
      </c>
      <c r="E311" s="318">
        <v>5510</v>
      </c>
      <c r="F311" s="318">
        <v>880</v>
      </c>
      <c r="G311" s="326">
        <v>2840</v>
      </c>
    </row>
    <row r="312" s="303" customFormat="1" ht="14.25" customHeight="1" spans="1:7">
      <c r="A312" s="318" t="s">
        <v>288</v>
      </c>
      <c r="B312" s="318" t="s">
        <v>2569</v>
      </c>
      <c r="C312" s="318">
        <v>4690</v>
      </c>
      <c r="D312" s="318">
        <v>4640</v>
      </c>
      <c r="E312" s="318">
        <v>5420</v>
      </c>
      <c r="F312" s="318">
        <v>800</v>
      </c>
      <c r="G312" s="326">
        <v>2800</v>
      </c>
    </row>
    <row r="313" s="303" customFormat="1" ht="14.25" customHeight="1" spans="1:7">
      <c r="A313" s="318" t="s">
        <v>288</v>
      </c>
      <c r="B313" s="318" t="s">
        <v>2574</v>
      </c>
      <c r="C313" s="318">
        <v>4810</v>
      </c>
      <c r="D313" s="318">
        <v>4760</v>
      </c>
      <c r="E313" s="318">
        <v>5550</v>
      </c>
      <c r="F313" s="318">
        <v>920</v>
      </c>
      <c r="G313" s="326">
        <v>2870</v>
      </c>
    </row>
    <row r="314" s="303" customFormat="1" ht="14.25" customHeight="1" spans="1:7">
      <c r="A314" s="318" t="s">
        <v>288</v>
      </c>
      <c r="B314" s="318" t="s">
        <v>2579</v>
      </c>
      <c r="C314" s="318"/>
      <c r="D314" s="318"/>
      <c r="E314" s="318"/>
      <c r="F314" s="318">
        <v>1020</v>
      </c>
      <c r="G314" s="326"/>
    </row>
    <row r="315" s="303" customFormat="1" ht="14.25" customHeight="1" spans="1:7">
      <c r="A315" s="318" t="s">
        <v>288</v>
      </c>
      <c r="B315" s="318" t="s">
        <v>2584</v>
      </c>
      <c r="C315" s="318"/>
      <c r="D315" s="318"/>
      <c r="E315" s="318"/>
      <c r="F315" s="318">
        <v>1050</v>
      </c>
      <c r="G315" s="326"/>
    </row>
    <row r="316" s="303" customFormat="1" ht="14.25" customHeight="1" spans="1:7">
      <c r="A316" s="318" t="s">
        <v>288</v>
      </c>
      <c r="B316" s="318" t="s">
        <v>2589</v>
      </c>
      <c r="C316" s="318"/>
      <c r="D316" s="318"/>
      <c r="E316" s="318"/>
      <c r="F316" s="318">
        <v>900</v>
      </c>
      <c r="G316" s="326"/>
    </row>
    <row r="317" s="303" customFormat="1" ht="14.25" customHeight="1" spans="1:7">
      <c r="A317" s="318" t="s">
        <v>288</v>
      </c>
      <c r="B317" s="318" t="s">
        <v>2593</v>
      </c>
      <c r="C317" s="318"/>
      <c r="D317" s="318"/>
      <c r="E317" s="318"/>
      <c r="F317" s="318">
        <v>920</v>
      </c>
      <c r="G317" s="326"/>
    </row>
    <row r="318" s="303" customFormat="1" ht="14.25" customHeight="1" spans="1:7">
      <c r="A318" s="318" t="s">
        <v>288</v>
      </c>
      <c r="B318" s="318" t="s">
        <v>2597</v>
      </c>
      <c r="C318" s="318"/>
      <c r="D318" s="318"/>
      <c r="E318" s="318"/>
      <c r="F318" s="318">
        <v>1080</v>
      </c>
      <c r="G318" s="326"/>
    </row>
    <row r="319" s="303" customFormat="1" ht="14.25" customHeight="1" spans="1:7">
      <c r="A319" s="318" t="s">
        <v>288</v>
      </c>
      <c r="B319" s="318" t="s">
        <v>2601</v>
      </c>
      <c r="C319" s="318"/>
      <c r="D319" s="318"/>
      <c r="E319" s="318"/>
      <c r="F319" s="318">
        <v>1020</v>
      </c>
      <c r="G319" s="326"/>
    </row>
    <row r="320" s="303" customFormat="1" ht="14.25" customHeight="1" spans="1:7">
      <c r="A320" s="318" t="s">
        <v>288</v>
      </c>
      <c r="B320" s="318" t="s">
        <v>2604</v>
      </c>
      <c r="C320" s="318"/>
      <c r="D320" s="318"/>
      <c r="E320" s="318"/>
      <c r="F320" s="318">
        <v>1050</v>
      </c>
      <c r="G320" s="326"/>
    </row>
    <row r="321" s="303" customFormat="1" ht="14.25" customHeight="1" spans="1:7">
      <c r="A321" s="318" t="s">
        <v>288</v>
      </c>
      <c r="B321" s="318" t="s">
        <v>2606</v>
      </c>
      <c r="C321" s="318"/>
      <c r="D321" s="318"/>
      <c r="E321" s="318"/>
      <c r="F321" s="318">
        <v>960</v>
      </c>
      <c r="G321" s="326"/>
    </row>
    <row r="322" s="303" customFormat="1" ht="14.25" customHeight="1" spans="1:7">
      <c r="A322" s="318" t="s">
        <v>288</v>
      </c>
      <c r="B322" s="318" t="s">
        <v>2608</v>
      </c>
      <c r="C322" s="318"/>
      <c r="D322" s="318"/>
      <c r="E322" s="318"/>
      <c r="F322" s="318">
        <v>960</v>
      </c>
      <c r="G322" s="326"/>
    </row>
    <row r="323" s="303" customFormat="1" ht="14.25" customHeight="1" spans="1:7">
      <c r="A323" s="318" t="s">
        <v>288</v>
      </c>
      <c r="B323" s="318" t="s">
        <v>2610</v>
      </c>
      <c r="C323" s="318"/>
      <c r="D323" s="318"/>
      <c r="E323" s="318"/>
      <c r="F323" s="318">
        <v>880</v>
      </c>
      <c r="G323" s="326"/>
    </row>
    <row r="324" s="303" customFormat="1" ht="14.25" customHeight="1" spans="1:7">
      <c r="A324" s="318" t="s">
        <v>288</v>
      </c>
      <c r="B324" s="318" t="s">
        <v>2612</v>
      </c>
      <c r="C324" s="318"/>
      <c r="D324" s="318"/>
      <c r="E324" s="318"/>
      <c r="F324" s="318">
        <v>930</v>
      </c>
      <c r="G324" s="326"/>
    </row>
    <row r="325" s="303" customFormat="1" ht="14.25" customHeight="1" spans="1:7">
      <c r="A325" s="318" t="s">
        <v>288</v>
      </c>
      <c r="B325" s="319" t="s">
        <v>2614</v>
      </c>
      <c r="C325" s="318"/>
      <c r="D325" s="318"/>
      <c r="E325" s="318"/>
      <c r="F325" s="318">
        <v>900</v>
      </c>
      <c r="G325" s="326"/>
    </row>
    <row r="326" s="303" customFormat="1" ht="14.25" customHeight="1" spans="1:7">
      <c r="A326" s="327" t="s">
        <v>288</v>
      </c>
      <c r="B326" s="322" t="s">
        <v>2616</v>
      </c>
      <c r="C326" s="322"/>
      <c r="D326" s="322"/>
      <c r="E326" s="322"/>
      <c r="F326" s="322">
        <v>790</v>
      </c>
      <c r="G326" s="328"/>
    </row>
    <row r="327" s="303" customFormat="1" ht="14.25" customHeight="1" spans="1:7">
      <c r="A327" s="316" t="s">
        <v>292</v>
      </c>
      <c r="B327" s="317" t="s">
        <v>2257</v>
      </c>
      <c r="C327" s="318">
        <v>3750</v>
      </c>
      <c r="D327" s="318">
        <v>3710</v>
      </c>
      <c r="E327" s="318">
        <v>4080</v>
      </c>
      <c r="F327" s="318">
        <v>860</v>
      </c>
      <c r="G327" s="318">
        <v>2210</v>
      </c>
    </row>
    <row r="328" s="303" customFormat="1" ht="14.25" customHeight="1" spans="1:7">
      <c r="A328" s="318" t="s">
        <v>292</v>
      </c>
      <c r="B328" s="318" t="s">
        <v>2270</v>
      </c>
      <c r="C328" s="318">
        <v>3330</v>
      </c>
      <c r="D328" s="318">
        <v>3290</v>
      </c>
      <c r="E328" s="318">
        <v>3610</v>
      </c>
      <c r="F328" s="318">
        <v>850</v>
      </c>
      <c r="G328" s="318">
        <v>1960</v>
      </c>
    </row>
    <row r="329" s="303" customFormat="1" ht="14.25" customHeight="1" spans="1:7">
      <c r="A329" s="318" t="s">
        <v>292</v>
      </c>
      <c r="B329" s="318" t="s">
        <v>2284</v>
      </c>
      <c r="C329" s="318">
        <v>2730</v>
      </c>
      <c r="D329" s="318">
        <v>2690</v>
      </c>
      <c r="E329" s="318">
        <v>3100</v>
      </c>
      <c r="F329" s="318">
        <v>660</v>
      </c>
      <c r="G329" s="318">
        <v>1610</v>
      </c>
    </row>
    <row r="330" s="303" customFormat="1" ht="14.25" customHeight="1" spans="1:7">
      <c r="A330" s="318" t="s">
        <v>292</v>
      </c>
      <c r="B330" s="318" t="s">
        <v>2296</v>
      </c>
      <c r="C330" s="318">
        <v>3270</v>
      </c>
      <c r="D330" s="318">
        <v>3240</v>
      </c>
      <c r="E330" s="318">
        <v>3560</v>
      </c>
      <c r="F330" s="318">
        <v>680</v>
      </c>
      <c r="G330" s="318">
        <v>1940</v>
      </c>
    </row>
    <row r="331" s="303" customFormat="1" ht="14.25" customHeight="1" spans="1:7">
      <c r="A331" s="318" t="s">
        <v>292</v>
      </c>
      <c r="B331" s="318" t="s">
        <v>2308</v>
      </c>
      <c r="C331" s="318">
        <v>3770</v>
      </c>
      <c r="D331" s="318">
        <v>3740</v>
      </c>
      <c r="E331" s="318">
        <v>4110</v>
      </c>
      <c r="F331" s="318">
        <v>730</v>
      </c>
      <c r="G331" s="318">
        <v>2230</v>
      </c>
    </row>
    <row r="332" s="303" customFormat="1" ht="14.25" customHeight="1" spans="1:7">
      <c r="A332" s="318" t="s">
        <v>292</v>
      </c>
      <c r="B332" s="318" t="s">
        <v>2319</v>
      </c>
      <c r="C332" s="318">
        <v>3520</v>
      </c>
      <c r="D332" s="318">
        <v>3480</v>
      </c>
      <c r="E332" s="318">
        <v>3830</v>
      </c>
      <c r="F332" s="318">
        <v>720</v>
      </c>
      <c r="G332" s="318">
        <v>2090</v>
      </c>
    </row>
    <row r="333" s="303" customFormat="1" ht="14.25" customHeight="1" spans="1:7">
      <c r="A333" s="318" t="s">
        <v>292</v>
      </c>
      <c r="B333" s="318" t="s">
        <v>2330</v>
      </c>
      <c r="C333" s="318">
        <v>3840</v>
      </c>
      <c r="D333" s="318">
        <v>3800</v>
      </c>
      <c r="E333" s="318">
        <v>4200</v>
      </c>
      <c r="F333" s="318">
        <v>760</v>
      </c>
      <c r="G333" s="318">
        <v>2270</v>
      </c>
    </row>
    <row r="334" s="303" customFormat="1" ht="14.25" customHeight="1" spans="1:7">
      <c r="A334" s="318" t="s">
        <v>292</v>
      </c>
      <c r="B334" s="318" t="s">
        <v>2341</v>
      </c>
      <c r="C334" s="318">
        <v>3960</v>
      </c>
      <c r="D334" s="318">
        <v>3910</v>
      </c>
      <c r="E334" s="318">
        <v>4340</v>
      </c>
      <c r="F334" s="318">
        <v>780</v>
      </c>
      <c r="G334" s="318">
        <v>2340</v>
      </c>
    </row>
    <row r="335" s="303" customFormat="1" ht="14.25" customHeight="1" spans="1:7">
      <c r="A335" s="318" t="s">
        <v>292</v>
      </c>
      <c r="B335" s="318" t="s">
        <v>2351</v>
      </c>
      <c r="C335" s="318">
        <v>3710</v>
      </c>
      <c r="D335" s="318">
        <v>3670</v>
      </c>
      <c r="E335" s="318">
        <v>4030</v>
      </c>
      <c r="F335" s="318">
        <v>750</v>
      </c>
      <c r="G335" s="318">
        <v>2200</v>
      </c>
    </row>
    <row r="336" s="303" customFormat="1" ht="14.25" customHeight="1" spans="1:7">
      <c r="A336" s="318" t="s">
        <v>292</v>
      </c>
      <c r="B336" s="318" t="s">
        <v>2361</v>
      </c>
      <c r="C336" s="318">
        <v>3570</v>
      </c>
      <c r="D336" s="318">
        <v>3530</v>
      </c>
      <c r="E336" s="318">
        <v>3880</v>
      </c>
      <c r="F336" s="318">
        <v>770</v>
      </c>
      <c r="G336" s="318">
        <v>2110</v>
      </c>
    </row>
    <row r="337" s="303" customFormat="1" ht="14.25" customHeight="1" spans="1:7">
      <c r="A337" s="318" t="s">
        <v>292</v>
      </c>
      <c r="B337" s="318" t="s">
        <v>2371</v>
      </c>
      <c r="C337" s="318">
        <v>3780</v>
      </c>
      <c r="D337" s="318">
        <v>3750</v>
      </c>
      <c r="E337" s="318">
        <v>4130</v>
      </c>
      <c r="F337" s="318">
        <v>750</v>
      </c>
      <c r="G337" s="318">
        <v>2240</v>
      </c>
    </row>
    <row r="338" s="303" customFormat="1" ht="14.25" customHeight="1" spans="1:7">
      <c r="A338" s="318" t="s">
        <v>292</v>
      </c>
      <c r="B338" s="318" t="s">
        <v>2381</v>
      </c>
      <c r="C338" s="318">
        <v>3600</v>
      </c>
      <c r="D338" s="318">
        <v>3570</v>
      </c>
      <c r="E338" s="318">
        <v>3920</v>
      </c>
      <c r="F338" s="318">
        <v>790</v>
      </c>
      <c r="G338" s="318">
        <v>2140</v>
      </c>
    </row>
    <row r="339" s="303" customFormat="1" ht="14.25" customHeight="1" spans="1:7">
      <c r="A339" s="318" t="s">
        <v>292</v>
      </c>
      <c r="B339" s="318" t="s">
        <v>2391</v>
      </c>
      <c r="C339" s="318">
        <v>3540</v>
      </c>
      <c r="D339" s="318">
        <v>3500</v>
      </c>
      <c r="E339" s="318">
        <v>3850</v>
      </c>
      <c r="F339" s="318">
        <v>780</v>
      </c>
      <c r="G339" s="318">
        <v>2100</v>
      </c>
    </row>
    <row r="340" s="303" customFormat="1" ht="14.25" customHeight="1" spans="1:7">
      <c r="A340" s="318" t="s">
        <v>292</v>
      </c>
      <c r="B340" s="318" t="s">
        <v>2401</v>
      </c>
      <c r="C340" s="318">
        <v>3850</v>
      </c>
      <c r="D340" s="318">
        <v>3810</v>
      </c>
      <c r="E340" s="318">
        <v>4210</v>
      </c>
      <c r="F340" s="318">
        <v>750</v>
      </c>
      <c r="G340" s="318">
        <v>2280</v>
      </c>
    </row>
    <row r="341" s="303" customFormat="1" ht="14.25" customHeight="1" spans="1:7">
      <c r="A341" s="318" t="s">
        <v>292</v>
      </c>
      <c r="B341" s="318" t="s">
        <v>2411</v>
      </c>
      <c r="C341" s="318">
        <v>3780</v>
      </c>
      <c r="D341" s="318">
        <v>3750</v>
      </c>
      <c r="E341" s="318">
        <v>4140</v>
      </c>
      <c r="F341" s="318">
        <v>720</v>
      </c>
      <c r="G341" s="318">
        <v>2240</v>
      </c>
    </row>
    <row r="342" s="303" customFormat="1" ht="14.25" customHeight="1" spans="1:7">
      <c r="A342" s="318" t="s">
        <v>292</v>
      </c>
      <c r="B342" s="318" t="s">
        <v>2421</v>
      </c>
      <c r="C342" s="318">
        <v>3670</v>
      </c>
      <c r="D342" s="318">
        <v>3620</v>
      </c>
      <c r="E342" s="318">
        <v>3990</v>
      </c>
      <c r="F342" s="318">
        <v>760</v>
      </c>
      <c r="G342" s="318">
        <v>2170</v>
      </c>
    </row>
    <row r="343" s="303" customFormat="1" ht="14.25" customHeight="1" spans="1:7">
      <c r="A343" s="318" t="s">
        <v>292</v>
      </c>
      <c r="B343" s="318" t="s">
        <v>2431</v>
      </c>
      <c r="C343" s="318">
        <v>3760</v>
      </c>
      <c r="D343" s="318">
        <v>3720</v>
      </c>
      <c r="E343" s="318">
        <v>4090</v>
      </c>
      <c r="F343" s="318">
        <v>780</v>
      </c>
      <c r="G343" s="318">
        <v>2220</v>
      </c>
    </row>
    <row r="344" s="303" customFormat="1" ht="14.25" customHeight="1" spans="1:7">
      <c r="A344" s="318" t="s">
        <v>292</v>
      </c>
      <c r="B344" s="318" t="s">
        <v>2441</v>
      </c>
      <c r="C344" s="318">
        <v>3680</v>
      </c>
      <c r="D344" s="318">
        <v>3640</v>
      </c>
      <c r="E344" s="318">
        <v>4010</v>
      </c>
      <c r="F344" s="318">
        <v>750</v>
      </c>
      <c r="G344" s="318">
        <v>2180</v>
      </c>
    </row>
    <row r="345" spans="1:10">
      <c r="A345" s="318" t="s">
        <v>292</v>
      </c>
      <c r="B345" s="318" t="s">
        <v>2451</v>
      </c>
      <c r="C345" s="318">
        <v>3190</v>
      </c>
      <c r="D345" s="318">
        <v>3140</v>
      </c>
      <c r="E345" s="318">
        <v>3450</v>
      </c>
      <c r="F345" s="318">
        <v>720</v>
      </c>
      <c r="G345" s="318">
        <v>1880</v>
      </c>
      <c r="J345" s="303"/>
    </row>
    <row r="346" spans="1:10">
      <c r="A346" s="318" t="s">
        <v>292</v>
      </c>
      <c r="B346" s="318" t="s">
        <v>2461</v>
      </c>
      <c r="C346" s="318">
        <v>3630</v>
      </c>
      <c r="D346" s="318">
        <v>3590</v>
      </c>
      <c r="E346" s="318">
        <v>3940</v>
      </c>
      <c r="F346" s="318">
        <v>730</v>
      </c>
      <c r="G346" s="318">
        <v>2150</v>
      </c>
      <c r="J346" s="303"/>
    </row>
    <row r="347" spans="1:10">
      <c r="A347" s="318" t="s">
        <v>292</v>
      </c>
      <c r="B347" s="318" t="s">
        <v>2470</v>
      </c>
      <c r="C347" s="318">
        <v>3860</v>
      </c>
      <c r="D347" s="318">
        <v>3820</v>
      </c>
      <c r="E347" s="318">
        <v>4220</v>
      </c>
      <c r="F347" s="318">
        <v>750</v>
      </c>
      <c r="G347" s="318">
        <v>2280</v>
      </c>
      <c r="J347" s="303"/>
    </row>
    <row r="348" spans="1:10">
      <c r="A348" s="318" t="s">
        <v>292</v>
      </c>
      <c r="B348" s="318" t="s">
        <v>2478</v>
      </c>
      <c r="C348" s="318">
        <v>4000</v>
      </c>
      <c r="D348" s="318">
        <v>3950</v>
      </c>
      <c r="E348" s="318">
        <v>4430</v>
      </c>
      <c r="F348" s="318">
        <v>760</v>
      </c>
      <c r="G348" s="318">
        <v>2360</v>
      </c>
      <c r="J348" s="303"/>
    </row>
    <row r="349" spans="1:10">
      <c r="A349" s="318" t="s">
        <v>292</v>
      </c>
      <c r="B349" s="318" t="s">
        <v>2486</v>
      </c>
      <c r="C349" s="318">
        <v>3820</v>
      </c>
      <c r="D349" s="318">
        <v>3780</v>
      </c>
      <c r="E349" s="318">
        <v>4170</v>
      </c>
      <c r="F349" s="318">
        <v>710</v>
      </c>
      <c r="G349" s="318">
        <v>2260</v>
      </c>
      <c r="J349" s="303"/>
    </row>
    <row r="350" spans="1:10">
      <c r="A350" s="318" t="s">
        <v>292</v>
      </c>
      <c r="B350" s="318" t="s">
        <v>2494</v>
      </c>
      <c r="C350" s="318">
        <v>3760</v>
      </c>
      <c r="D350" s="318">
        <v>3730</v>
      </c>
      <c r="E350" s="318">
        <v>4100</v>
      </c>
      <c r="F350" s="318">
        <v>800</v>
      </c>
      <c r="G350" s="318">
        <v>2230</v>
      </c>
      <c r="J350" s="303"/>
    </row>
    <row r="351" spans="1:10">
      <c r="A351" s="318" t="s">
        <v>292</v>
      </c>
      <c r="B351" s="318" t="s">
        <v>2502</v>
      </c>
      <c r="C351" s="318">
        <v>3610</v>
      </c>
      <c r="D351" s="318">
        <v>3580</v>
      </c>
      <c r="E351" s="318">
        <v>3930</v>
      </c>
      <c r="F351" s="318">
        <v>700</v>
      </c>
      <c r="G351" s="318">
        <v>2140</v>
      </c>
      <c r="J351" s="303"/>
    </row>
    <row r="352" spans="1:7">
      <c r="A352" s="318" t="s">
        <v>292</v>
      </c>
      <c r="B352" s="318" t="s">
        <v>2508</v>
      </c>
      <c r="C352" s="318">
        <v>3670</v>
      </c>
      <c r="D352" s="318">
        <v>3630</v>
      </c>
      <c r="E352" s="318">
        <v>4000</v>
      </c>
      <c r="F352" s="318">
        <v>750</v>
      </c>
      <c r="G352" s="318">
        <v>2180</v>
      </c>
    </row>
    <row r="353" s="304" customFormat="1" spans="1:7">
      <c r="A353" s="318" t="s">
        <v>292</v>
      </c>
      <c r="B353" s="318" t="s">
        <v>2515</v>
      </c>
      <c r="C353" s="318">
        <v>3190</v>
      </c>
      <c r="D353" s="318">
        <v>3150</v>
      </c>
      <c r="E353" s="318">
        <v>3640</v>
      </c>
      <c r="F353" s="318">
        <v>630</v>
      </c>
      <c r="G353" s="318">
        <v>1890</v>
      </c>
    </row>
    <row r="354" s="304" customFormat="1" spans="1:7">
      <c r="A354" s="318" t="s">
        <v>292</v>
      </c>
      <c r="B354" s="318" t="s">
        <v>2522</v>
      </c>
      <c r="C354" s="318">
        <v>3450</v>
      </c>
      <c r="D354" s="318">
        <v>3420</v>
      </c>
      <c r="E354" s="318">
        <v>3960</v>
      </c>
      <c r="F354" s="318">
        <v>660</v>
      </c>
      <c r="G354" s="318">
        <v>2050</v>
      </c>
    </row>
    <row r="355" s="304" customFormat="1" spans="1:7">
      <c r="A355" s="318" t="s">
        <v>292</v>
      </c>
      <c r="B355" s="318" t="s">
        <v>2529</v>
      </c>
      <c r="C355" s="318">
        <v>3650</v>
      </c>
      <c r="D355" s="318">
        <v>3610</v>
      </c>
      <c r="E355" s="318">
        <v>4200</v>
      </c>
      <c r="F355" s="318">
        <v>640</v>
      </c>
      <c r="G355" s="318">
        <v>2160</v>
      </c>
    </row>
    <row r="356" s="304" customFormat="1" spans="1:7">
      <c r="A356" s="318" t="s">
        <v>292</v>
      </c>
      <c r="B356" s="318" t="s">
        <v>2536</v>
      </c>
      <c r="C356" s="318">
        <v>3260</v>
      </c>
      <c r="D356" s="318">
        <v>3230</v>
      </c>
      <c r="E356" s="318">
        <v>3740</v>
      </c>
      <c r="F356" s="318">
        <v>600</v>
      </c>
      <c r="G356" s="318">
        <v>1930</v>
      </c>
    </row>
    <row r="357" s="304" customFormat="1" ht="12.75" spans="1:7">
      <c r="A357" s="320" t="s">
        <v>292</v>
      </c>
      <c r="B357" s="324" t="s">
        <v>2543</v>
      </c>
      <c r="C357" s="324">
        <v>3690</v>
      </c>
      <c r="D357" s="324">
        <v>3650</v>
      </c>
      <c r="E357" s="324">
        <v>4020</v>
      </c>
      <c r="F357" s="324">
        <v>700</v>
      </c>
      <c r="G357" s="324">
        <v>2190</v>
      </c>
    </row>
    <row r="358" s="304" customFormat="1" spans="1:7">
      <c r="A358" s="316" t="s">
        <v>296</v>
      </c>
      <c r="B358" s="317" t="s">
        <v>2258</v>
      </c>
      <c r="C358" s="317">
        <v>2080</v>
      </c>
      <c r="D358" s="317">
        <v>2040</v>
      </c>
      <c r="E358" s="317">
        <v>2010</v>
      </c>
      <c r="F358" s="317">
        <v>530</v>
      </c>
      <c r="G358" s="325">
        <v>1230</v>
      </c>
    </row>
    <row r="359" s="304" customFormat="1" spans="1:7">
      <c r="A359" s="318" t="s">
        <v>296</v>
      </c>
      <c r="B359" s="318" t="s">
        <v>2271</v>
      </c>
      <c r="C359" s="318">
        <v>1850</v>
      </c>
      <c r="D359" s="318">
        <v>1820</v>
      </c>
      <c r="E359" s="318">
        <v>1780</v>
      </c>
      <c r="F359" s="318">
        <v>520</v>
      </c>
      <c r="G359" s="326">
        <v>1100</v>
      </c>
    </row>
    <row r="360" s="304" customFormat="1" spans="1:7">
      <c r="A360" s="318" t="s">
        <v>296</v>
      </c>
      <c r="B360" s="318" t="s">
        <v>2285</v>
      </c>
      <c r="C360" s="318">
        <v>2020</v>
      </c>
      <c r="D360" s="318">
        <v>1990</v>
      </c>
      <c r="E360" s="318">
        <v>1950</v>
      </c>
      <c r="F360" s="318">
        <v>500</v>
      </c>
      <c r="G360" s="326">
        <v>1200</v>
      </c>
    </row>
    <row r="361" s="304" customFormat="1" spans="1:7">
      <c r="A361" s="318" t="s">
        <v>296</v>
      </c>
      <c r="B361" s="318" t="s">
        <v>2297</v>
      </c>
      <c r="C361" s="318">
        <v>2260</v>
      </c>
      <c r="D361" s="318">
        <v>2220</v>
      </c>
      <c r="E361" s="318">
        <v>2180</v>
      </c>
      <c r="F361" s="318">
        <v>580</v>
      </c>
      <c r="G361" s="326">
        <v>1340</v>
      </c>
    </row>
    <row r="362" s="304" customFormat="1" spans="1:7">
      <c r="A362" s="318" t="s">
        <v>296</v>
      </c>
      <c r="B362" s="318" t="s">
        <v>2309</v>
      </c>
      <c r="C362" s="318">
        <v>2650</v>
      </c>
      <c r="D362" s="318">
        <v>2610</v>
      </c>
      <c r="E362" s="318">
        <v>2570</v>
      </c>
      <c r="F362" s="318">
        <v>630</v>
      </c>
      <c r="G362" s="326">
        <v>1570</v>
      </c>
    </row>
    <row r="363" s="304" customFormat="1" spans="1:7">
      <c r="A363" s="318" t="s">
        <v>296</v>
      </c>
      <c r="B363" s="318" t="s">
        <v>2320</v>
      </c>
      <c r="C363" s="318">
        <v>2390</v>
      </c>
      <c r="D363" s="318">
        <v>2360</v>
      </c>
      <c r="E363" s="318">
        <v>2320</v>
      </c>
      <c r="F363" s="318">
        <v>600</v>
      </c>
      <c r="G363" s="326">
        <v>1420</v>
      </c>
    </row>
    <row r="364" s="304" customFormat="1" spans="1:7">
      <c r="A364" s="318" t="s">
        <v>296</v>
      </c>
      <c r="B364" s="318" t="s">
        <v>2331</v>
      </c>
      <c r="C364" s="318">
        <v>2050</v>
      </c>
      <c r="D364" s="318">
        <v>2030</v>
      </c>
      <c r="E364" s="318">
        <v>1990</v>
      </c>
      <c r="F364" s="318">
        <v>550</v>
      </c>
      <c r="G364" s="326">
        <v>1220</v>
      </c>
    </row>
    <row r="365" s="304" customFormat="1" spans="1:7">
      <c r="A365" s="318" t="s">
        <v>296</v>
      </c>
      <c r="B365" s="318" t="s">
        <v>2342</v>
      </c>
      <c r="C365" s="318">
        <v>2140</v>
      </c>
      <c r="D365" s="318">
        <v>2100</v>
      </c>
      <c r="E365" s="318">
        <v>2060</v>
      </c>
      <c r="F365" s="318">
        <v>540</v>
      </c>
      <c r="G365" s="326">
        <v>1270</v>
      </c>
    </row>
    <row r="366" s="304" customFormat="1" spans="1:7">
      <c r="A366" s="318" t="s">
        <v>296</v>
      </c>
      <c r="B366" s="318" t="s">
        <v>2352</v>
      </c>
      <c r="C366" s="318">
        <v>2410</v>
      </c>
      <c r="D366" s="318">
        <v>2370</v>
      </c>
      <c r="E366" s="318">
        <v>2330</v>
      </c>
      <c r="F366" s="318">
        <v>570</v>
      </c>
      <c r="G366" s="326">
        <v>1440</v>
      </c>
    </row>
    <row r="367" s="304" customFormat="1" spans="1:7">
      <c r="A367" s="318" t="s">
        <v>296</v>
      </c>
      <c r="B367" s="318" t="s">
        <v>2362</v>
      </c>
      <c r="C367" s="318">
        <v>2300</v>
      </c>
      <c r="D367" s="318">
        <v>2260</v>
      </c>
      <c r="E367" s="318">
        <v>2220</v>
      </c>
      <c r="F367" s="318">
        <v>560</v>
      </c>
      <c r="G367" s="326">
        <v>1370</v>
      </c>
    </row>
    <row r="368" s="304" customFormat="1" spans="1:7">
      <c r="A368" s="318" t="s">
        <v>296</v>
      </c>
      <c r="B368" s="318" t="s">
        <v>2372</v>
      </c>
      <c r="C368" s="318">
        <v>2430</v>
      </c>
      <c r="D368" s="318">
        <v>2390</v>
      </c>
      <c r="E368" s="318">
        <v>2350</v>
      </c>
      <c r="F368" s="318">
        <v>570</v>
      </c>
      <c r="G368" s="326">
        <v>1450</v>
      </c>
    </row>
    <row r="369" s="304" customFormat="1" spans="1:7">
      <c r="A369" s="318" t="s">
        <v>296</v>
      </c>
      <c r="B369" s="318" t="s">
        <v>2382</v>
      </c>
      <c r="C369" s="318">
        <v>2320</v>
      </c>
      <c r="D369" s="318">
        <v>2290</v>
      </c>
      <c r="E369" s="318">
        <v>2250</v>
      </c>
      <c r="F369" s="318">
        <v>550</v>
      </c>
      <c r="G369" s="326">
        <v>1380</v>
      </c>
    </row>
    <row r="370" s="304" customFormat="1" spans="1:7">
      <c r="A370" s="318" t="s">
        <v>296</v>
      </c>
      <c r="B370" s="318" t="s">
        <v>2392</v>
      </c>
      <c r="C370" s="318">
        <v>2190</v>
      </c>
      <c r="D370" s="318">
        <v>2170</v>
      </c>
      <c r="E370" s="318">
        <v>2130</v>
      </c>
      <c r="F370" s="318">
        <v>530</v>
      </c>
      <c r="G370" s="326">
        <v>1310</v>
      </c>
    </row>
    <row r="371" s="304" customFormat="1" spans="1:7">
      <c r="A371" s="318" t="s">
        <v>296</v>
      </c>
      <c r="B371" s="318" t="s">
        <v>2402</v>
      </c>
      <c r="C371" s="318">
        <v>2460</v>
      </c>
      <c r="D371" s="318">
        <v>2420</v>
      </c>
      <c r="E371" s="318">
        <v>2370</v>
      </c>
      <c r="F371" s="318">
        <v>560</v>
      </c>
      <c r="G371" s="326">
        <v>1470</v>
      </c>
    </row>
    <row r="372" s="304" customFormat="1" spans="1:7">
      <c r="A372" s="318" t="s">
        <v>296</v>
      </c>
      <c r="B372" s="318" t="s">
        <v>2412</v>
      </c>
      <c r="C372" s="318">
        <v>2250</v>
      </c>
      <c r="D372" s="318">
        <v>2210</v>
      </c>
      <c r="E372" s="318">
        <v>2180</v>
      </c>
      <c r="F372" s="318">
        <v>550</v>
      </c>
      <c r="G372" s="326">
        <v>1340</v>
      </c>
    </row>
    <row r="373" s="304" customFormat="1" spans="1:7">
      <c r="A373" s="318" t="s">
        <v>296</v>
      </c>
      <c r="B373" s="318" t="s">
        <v>2422</v>
      </c>
      <c r="C373" s="318">
        <v>2210</v>
      </c>
      <c r="D373" s="318">
        <v>2190</v>
      </c>
      <c r="E373" s="318">
        <v>2150</v>
      </c>
      <c r="F373" s="318">
        <v>530</v>
      </c>
      <c r="G373" s="326">
        <v>1320</v>
      </c>
    </row>
    <row r="374" s="304" customFormat="1" spans="1:7">
      <c r="A374" s="318" t="s">
        <v>296</v>
      </c>
      <c r="B374" s="318" t="s">
        <v>2432</v>
      </c>
      <c r="C374" s="318">
        <v>2320</v>
      </c>
      <c r="D374" s="318">
        <v>2280</v>
      </c>
      <c r="E374" s="318">
        <v>2230</v>
      </c>
      <c r="F374" s="318">
        <v>580</v>
      </c>
      <c r="G374" s="326">
        <v>1380</v>
      </c>
    </row>
    <row r="375" s="304" customFormat="1" spans="1:7">
      <c r="A375" s="318" t="s">
        <v>296</v>
      </c>
      <c r="B375" s="318" t="s">
        <v>2442</v>
      </c>
      <c r="C375" s="318">
        <v>2090</v>
      </c>
      <c r="D375" s="318">
        <v>2050</v>
      </c>
      <c r="E375" s="318">
        <v>2020</v>
      </c>
      <c r="F375" s="318">
        <v>520</v>
      </c>
      <c r="G375" s="326">
        <v>1240</v>
      </c>
    </row>
    <row r="376" s="304" customFormat="1" spans="1:7">
      <c r="A376" s="318" t="s">
        <v>296</v>
      </c>
      <c r="B376" s="318" t="s">
        <v>2452</v>
      </c>
      <c r="C376" s="318">
        <v>2010</v>
      </c>
      <c r="D376" s="318">
        <v>1980</v>
      </c>
      <c r="E376" s="318">
        <v>1940</v>
      </c>
      <c r="F376" s="318">
        <v>540</v>
      </c>
      <c r="G376" s="326">
        <v>1190</v>
      </c>
    </row>
    <row r="377" s="304" customFormat="1" ht="12.75" spans="1:7">
      <c r="A377" s="320" t="s">
        <v>296</v>
      </c>
      <c r="B377" s="324" t="s">
        <v>2462</v>
      </c>
      <c r="C377" s="324">
        <v>1930</v>
      </c>
      <c r="D377" s="324">
        <v>1890</v>
      </c>
      <c r="E377" s="324">
        <v>1860</v>
      </c>
      <c r="F377" s="324">
        <v>530</v>
      </c>
      <c r="G377" s="333">
        <v>1150</v>
      </c>
    </row>
    <row r="378" s="304" customFormat="1" spans="1:7">
      <c r="A378" s="334" t="s">
        <v>300</v>
      </c>
      <c r="B378" s="317" t="s">
        <v>2259</v>
      </c>
      <c r="C378" s="317">
        <v>1520</v>
      </c>
      <c r="D378" s="317">
        <v>1490</v>
      </c>
      <c r="E378" s="317">
        <v>1460</v>
      </c>
      <c r="F378" s="317">
        <v>460</v>
      </c>
      <c r="G378" s="325">
        <v>940</v>
      </c>
    </row>
    <row r="379" s="304" customFormat="1" spans="1:7">
      <c r="A379" s="335" t="s">
        <v>300</v>
      </c>
      <c r="B379" s="318" t="s">
        <v>2272</v>
      </c>
      <c r="C379" s="318">
        <v>1500</v>
      </c>
      <c r="D379" s="318">
        <v>1470</v>
      </c>
      <c r="E379" s="318">
        <v>1430</v>
      </c>
      <c r="F379" s="318">
        <v>460</v>
      </c>
      <c r="G379" s="326">
        <v>920</v>
      </c>
    </row>
    <row r="380" s="304" customFormat="1" spans="1:7">
      <c r="A380" s="335" t="s">
        <v>300</v>
      </c>
      <c r="B380" s="318" t="s">
        <v>2286</v>
      </c>
      <c r="C380" s="318">
        <v>1620</v>
      </c>
      <c r="D380" s="318">
        <v>1590</v>
      </c>
      <c r="E380" s="318">
        <v>1560</v>
      </c>
      <c r="F380" s="318">
        <v>480</v>
      </c>
      <c r="G380" s="326">
        <v>1000</v>
      </c>
    </row>
    <row r="381" s="304" customFormat="1" spans="1:7">
      <c r="A381" s="335" t="s">
        <v>300</v>
      </c>
      <c r="B381" s="318" t="s">
        <v>2298</v>
      </c>
      <c r="C381" s="318">
        <v>1460</v>
      </c>
      <c r="D381" s="318">
        <v>1430</v>
      </c>
      <c r="E381" s="318">
        <v>1390</v>
      </c>
      <c r="F381" s="318">
        <v>450</v>
      </c>
      <c r="G381" s="326">
        <v>900</v>
      </c>
    </row>
    <row r="382" s="304" customFormat="1" spans="1:7">
      <c r="A382" s="335" t="s">
        <v>300</v>
      </c>
      <c r="B382" s="318" t="s">
        <v>2310</v>
      </c>
      <c r="C382" s="318">
        <v>1310</v>
      </c>
      <c r="D382" s="318">
        <v>1280</v>
      </c>
      <c r="E382" s="318">
        <v>1250</v>
      </c>
      <c r="F382" s="318">
        <v>440</v>
      </c>
      <c r="G382" s="326">
        <v>800</v>
      </c>
    </row>
    <row r="383" s="304" customFormat="1" spans="1:7">
      <c r="A383" s="335" t="s">
        <v>300</v>
      </c>
      <c r="B383" s="318" t="s">
        <v>2321</v>
      </c>
      <c r="C383" s="318">
        <v>1260</v>
      </c>
      <c r="D383" s="318">
        <v>1230</v>
      </c>
      <c r="E383" s="318">
        <v>1200</v>
      </c>
      <c r="F383" s="318">
        <v>420</v>
      </c>
      <c r="G383" s="326">
        <v>770</v>
      </c>
    </row>
    <row r="384" s="304" customFormat="1" ht="12.75" spans="1:7">
      <c r="A384" s="336" t="s">
        <v>300</v>
      </c>
      <c r="B384" s="322" t="s">
        <v>2332</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2630</v>
      </c>
      <c r="B1" s="268"/>
    </row>
    <row r="2" ht="14.75" spans="1:2">
      <c r="A2" s="268"/>
      <c r="B2" s="268"/>
    </row>
    <row r="3" ht="14.75" spans="1:7">
      <c r="A3" s="268"/>
      <c r="B3" s="268"/>
      <c r="C3" s="269" t="s">
        <v>675</v>
      </c>
      <c r="D3" s="269" t="s">
        <v>573</v>
      </c>
      <c r="E3" s="269" t="s">
        <v>430</v>
      </c>
      <c r="F3" s="269" t="s">
        <v>426</v>
      </c>
      <c r="G3" s="269" t="s">
        <v>280</v>
      </c>
    </row>
    <row r="4" ht="14.75" spans="1:7">
      <c r="A4" s="270" t="s">
        <v>2260</v>
      </c>
      <c r="B4" s="271" t="s">
        <v>2273</v>
      </c>
      <c r="C4" s="269"/>
      <c r="D4" s="269"/>
      <c r="E4" s="269"/>
      <c r="F4" s="269"/>
      <c r="G4" s="269"/>
    </row>
    <row r="5" spans="1:7">
      <c r="A5" s="272" t="s">
        <v>230</v>
      </c>
      <c r="B5" s="273" t="s">
        <v>2248</v>
      </c>
      <c r="C5" s="274">
        <v>0.098</v>
      </c>
      <c r="D5" s="274">
        <v>0.087</v>
      </c>
      <c r="E5" s="274">
        <v>0.087</v>
      </c>
      <c r="F5" s="274">
        <v>0.098</v>
      </c>
      <c r="G5" s="275">
        <v>0.095</v>
      </c>
    </row>
    <row r="6" spans="1:7">
      <c r="A6" s="276" t="s">
        <v>230</v>
      </c>
      <c r="B6" s="277" t="s">
        <v>2261</v>
      </c>
      <c r="C6" s="278">
        <v>0.098</v>
      </c>
      <c r="D6" s="278">
        <v>0.098</v>
      </c>
      <c r="E6" s="278">
        <v>0.098</v>
      </c>
      <c r="F6" s="278">
        <v>0.1</v>
      </c>
      <c r="G6" s="279">
        <v>0.099</v>
      </c>
    </row>
    <row r="7" spans="1:7">
      <c r="A7" s="276" t="s">
        <v>230</v>
      </c>
      <c r="B7" s="277" t="s">
        <v>2275</v>
      </c>
      <c r="C7" s="278">
        <v>0.097</v>
      </c>
      <c r="D7" s="278">
        <v>0.097</v>
      </c>
      <c r="E7" s="278">
        <v>0.096</v>
      </c>
      <c r="F7" s="278">
        <v>0.1</v>
      </c>
      <c r="G7" s="279">
        <v>0.098</v>
      </c>
    </row>
    <row r="8" spans="1:7">
      <c r="A8" s="276" t="s">
        <v>230</v>
      </c>
      <c r="B8" s="277" t="s">
        <v>2287</v>
      </c>
      <c r="C8" s="278">
        <v>0.081</v>
      </c>
      <c r="D8" s="278">
        <v>0.082</v>
      </c>
      <c r="E8" s="278">
        <v>0.07</v>
      </c>
      <c r="F8" s="278">
        <v>0.096</v>
      </c>
      <c r="G8" s="279">
        <v>0.089</v>
      </c>
    </row>
    <row r="9" ht="14.75" spans="1:7">
      <c r="A9" s="280" t="s">
        <v>230</v>
      </c>
      <c r="B9" s="281" t="s">
        <v>2299</v>
      </c>
      <c r="C9" s="282">
        <v>0.1</v>
      </c>
      <c r="D9" s="282">
        <v>0.1</v>
      </c>
      <c r="E9" s="282">
        <v>0.1</v>
      </c>
      <c r="F9" s="283"/>
      <c r="G9" s="284">
        <v>0.1</v>
      </c>
    </row>
    <row r="10" spans="1:7">
      <c r="A10" s="272" t="s">
        <v>241</v>
      </c>
      <c r="B10" s="273" t="s">
        <v>2249</v>
      </c>
      <c r="C10" s="274">
        <v>0.067</v>
      </c>
      <c r="D10" s="274">
        <v>0.079</v>
      </c>
      <c r="E10" s="274">
        <v>0.079</v>
      </c>
      <c r="F10" s="274">
        <v>0.1</v>
      </c>
      <c r="G10" s="275">
        <v>0.091</v>
      </c>
    </row>
    <row r="11" spans="1:7">
      <c r="A11" s="276" t="s">
        <v>241</v>
      </c>
      <c r="B11" s="277" t="s">
        <v>2262</v>
      </c>
      <c r="C11" s="278">
        <v>0.05</v>
      </c>
      <c r="D11" s="278">
        <v>0.053</v>
      </c>
      <c r="E11" s="278">
        <v>0.063</v>
      </c>
      <c r="F11" s="278">
        <v>0.1</v>
      </c>
      <c r="G11" s="279">
        <v>0.072</v>
      </c>
    </row>
    <row r="12" spans="1:7">
      <c r="A12" s="276" t="s">
        <v>241</v>
      </c>
      <c r="B12" s="277" t="s">
        <v>2276</v>
      </c>
      <c r="C12" s="278">
        <v>0.053</v>
      </c>
      <c r="D12" s="278">
        <v>0.09</v>
      </c>
      <c r="E12" s="278">
        <v>0.072</v>
      </c>
      <c r="F12" s="278">
        <v>0.1</v>
      </c>
      <c r="G12" s="279">
        <v>0.097</v>
      </c>
    </row>
    <row r="13" spans="1:7">
      <c r="A13" s="276" t="s">
        <v>241</v>
      </c>
      <c r="B13" s="277" t="s">
        <v>2288</v>
      </c>
      <c r="C13" s="278">
        <v>0.097</v>
      </c>
      <c r="D13" s="278">
        <v>0.092</v>
      </c>
      <c r="E13" s="278">
        <v>0.095</v>
      </c>
      <c r="F13" s="278">
        <v>0.1</v>
      </c>
      <c r="G13" s="279">
        <v>0.097</v>
      </c>
    </row>
    <row r="14" spans="1:7">
      <c r="A14" s="276" t="s">
        <v>241</v>
      </c>
      <c r="B14" s="277" t="s">
        <v>2300</v>
      </c>
      <c r="C14" s="278">
        <v>0.097</v>
      </c>
      <c r="D14" s="278">
        <v>0.097</v>
      </c>
      <c r="E14" s="278">
        <v>0.097</v>
      </c>
      <c r="F14" s="278">
        <v>0.1</v>
      </c>
      <c r="G14" s="279">
        <v>0.098</v>
      </c>
    </row>
    <row r="15" spans="1:7">
      <c r="A15" s="276" t="s">
        <v>241</v>
      </c>
      <c r="B15" s="277" t="s">
        <v>2311</v>
      </c>
      <c r="C15" s="278">
        <v>0.098</v>
      </c>
      <c r="D15" s="278">
        <v>0.091</v>
      </c>
      <c r="E15" s="278">
        <v>0.06</v>
      </c>
      <c r="F15" s="278">
        <v>0.1</v>
      </c>
      <c r="G15" s="279">
        <v>0.097</v>
      </c>
    </row>
    <row r="16" spans="1:7">
      <c r="A16" s="276" t="s">
        <v>241</v>
      </c>
      <c r="B16" s="277" t="s">
        <v>2322</v>
      </c>
      <c r="C16" s="278">
        <v>0.098</v>
      </c>
      <c r="D16" s="278">
        <v>0.097</v>
      </c>
      <c r="E16" s="278">
        <v>0.095</v>
      </c>
      <c r="F16" s="278">
        <v>0.1</v>
      </c>
      <c r="G16" s="279">
        <v>0.099</v>
      </c>
    </row>
    <row r="17" spans="1:7">
      <c r="A17" s="276" t="s">
        <v>241</v>
      </c>
      <c r="B17" s="277" t="s">
        <v>2333</v>
      </c>
      <c r="C17" s="278">
        <v>0.089</v>
      </c>
      <c r="D17" s="278">
        <v>0.092</v>
      </c>
      <c r="E17" s="278">
        <v>0.061</v>
      </c>
      <c r="F17" s="278">
        <v>0.1</v>
      </c>
      <c r="G17" s="279">
        <v>0.097</v>
      </c>
    </row>
    <row r="18" spans="1:7">
      <c r="A18" s="276" t="s">
        <v>241</v>
      </c>
      <c r="B18" s="277" t="s">
        <v>2343</v>
      </c>
      <c r="C18" s="278">
        <v>0.098</v>
      </c>
      <c r="D18" s="278">
        <v>0.098</v>
      </c>
      <c r="E18" s="278">
        <v>0.098</v>
      </c>
      <c r="F18" s="285"/>
      <c r="G18" s="279">
        <v>0.099</v>
      </c>
    </row>
    <row r="19" spans="1:7">
      <c r="A19" s="276" t="s">
        <v>241</v>
      </c>
      <c r="B19" s="277" t="s">
        <v>2353</v>
      </c>
      <c r="C19" s="278">
        <v>0.099</v>
      </c>
      <c r="D19" s="278">
        <v>0.074</v>
      </c>
      <c r="E19" s="278">
        <v>0.081</v>
      </c>
      <c r="F19" s="285"/>
      <c r="G19" s="279">
        <v>0.093</v>
      </c>
    </row>
    <row r="20" spans="1:7">
      <c r="A20" s="276" t="s">
        <v>241</v>
      </c>
      <c r="B20" s="277" t="s">
        <v>2363</v>
      </c>
      <c r="C20" s="278">
        <v>0.1</v>
      </c>
      <c r="D20" s="278">
        <v>0.089</v>
      </c>
      <c r="E20" s="278">
        <v>0.089</v>
      </c>
      <c r="F20" s="285"/>
      <c r="G20" s="279">
        <v>0.095</v>
      </c>
    </row>
    <row r="21" spans="1:7">
      <c r="A21" s="276" t="s">
        <v>241</v>
      </c>
      <c r="B21" s="277" t="s">
        <v>2373</v>
      </c>
      <c r="C21" s="278">
        <v>0.1</v>
      </c>
      <c r="D21" s="278">
        <v>0.091</v>
      </c>
      <c r="E21" s="278">
        <v>0.082</v>
      </c>
      <c r="F21" s="285"/>
      <c r="G21" s="279">
        <v>0.097</v>
      </c>
    </row>
    <row r="22" spans="1:7">
      <c r="A22" s="276" t="s">
        <v>241</v>
      </c>
      <c r="B22" s="277" t="s">
        <v>2383</v>
      </c>
      <c r="C22" s="278">
        <v>0.095</v>
      </c>
      <c r="D22" s="278">
        <v>0.099</v>
      </c>
      <c r="E22" s="278">
        <v>0.098</v>
      </c>
      <c r="F22" s="285"/>
      <c r="G22" s="279">
        <v>0.1</v>
      </c>
    </row>
    <row r="23" spans="1:7">
      <c r="A23" s="276" t="s">
        <v>241</v>
      </c>
      <c r="B23" s="277" t="s">
        <v>2393</v>
      </c>
      <c r="C23" s="278">
        <v>0.099</v>
      </c>
      <c r="D23" s="278">
        <v>0.1</v>
      </c>
      <c r="E23" s="278">
        <v>0.1</v>
      </c>
      <c r="F23" s="285"/>
      <c r="G23" s="279">
        <v>0.1</v>
      </c>
    </row>
    <row r="24" spans="1:7">
      <c r="A24" s="276" t="s">
        <v>241</v>
      </c>
      <c r="B24" s="277" t="s">
        <v>2403</v>
      </c>
      <c r="C24" s="278">
        <v>0.095</v>
      </c>
      <c r="D24" s="278">
        <v>0.1</v>
      </c>
      <c r="E24" s="278">
        <v>0.098</v>
      </c>
      <c r="F24" s="285"/>
      <c r="G24" s="279">
        <v>0.1</v>
      </c>
    </row>
    <row r="25" spans="1:7">
      <c r="A25" s="276" t="s">
        <v>241</v>
      </c>
      <c r="B25" s="277" t="s">
        <v>2413</v>
      </c>
      <c r="C25" s="278">
        <v>0.05</v>
      </c>
      <c r="D25" s="278">
        <v>0.096</v>
      </c>
      <c r="E25" s="278">
        <v>0.096</v>
      </c>
      <c r="F25" s="285"/>
      <c r="G25" s="279">
        <v>0.096</v>
      </c>
    </row>
    <row r="26" spans="1:7">
      <c r="A26" s="276" t="s">
        <v>241</v>
      </c>
      <c r="B26" s="277" t="s">
        <v>2423</v>
      </c>
      <c r="C26" s="278">
        <v>0.063</v>
      </c>
      <c r="D26" s="278">
        <v>0.099</v>
      </c>
      <c r="E26" s="278">
        <v>0.098</v>
      </c>
      <c r="F26" s="285"/>
      <c r="G26" s="279">
        <v>0.1</v>
      </c>
    </row>
    <row r="27" spans="1:7">
      <c r="A27" s="276" t="s">
        <v>241</v>
      </c>
      <c r="B27" s="277" t="s">
        <v>2433</v>
      </c>
      <c r="C27" s="278">
        <v>0.052</v>
      </c>
      <c r="D27" s="278">
        <v>0.095</v>
      </c>
      <c r="E27" s="278">
        <v>0.064</v>
      </c>
      <c r="F27" s="285"/>
      <c r="G27" s="279">
        <v>0.097</v>
      </c>
    </row>
    <row r="28" spans="1:7">
      <c r="A28" s="276" t="s">
        <v>241</v>
      </c>
      <c r="B28" s="277" t="s">
        <v>2443</v>
      </c>
      <c r="C28" s="285"/>
      <c r="D28" s="278">
        <v>0.063</v>
      </c>
      <c r="E28" s="278">
        <v>0.052</v>
      </c>
      <c r="F28" s="285"/>
      <c r="G28" s="279">
        <v>0.063</v>
      </c>
    </row>
    <row r="29" ht="14.75" spans="1:7">
      <c r="A29" s="280" t="s">
        <v>241</v>
      </c>
      <c r="B29" s="281" t="s">
        <v>2453</v>
      </c>
      <c r="C29" s="286"/>
      <c r="D29" s="282">
        <v>0.052</v>
      </c>
      <c r="E29" s="282">
        <v>0.07</v>
      </c>
      <c r="F29" s="286"/>
      <c r="G29" s="284">
        <v>0.071</v>
      </c>
    </row>
    <row r="30" spans="1:7">
      <c r="A30" s="287" t="s">
        <v>251</v>
      </c>
      <c r="B30" s="273" t="s">
        <v>2250</v>
      </c>
      <c r="C30" s="274">
        <v>0.066</v>
      </c>
      <c r="D30" s="274">
        <v>0.066</v>
      </c>
      <c r="E30" s="274">
        <v>0.057</v>
      </c>
      <c r="F30" s="274">
        <v>0.1</v>
      </c>
      <c r="G30" s="275">
        <v>0.068</v>
      </c>
    </row>
    <row r="31" spans="1:7">
      <c r="A31" s="288" t="s">
        <v>251</v>
      </c>
      <c r="B31" s="277" t="s">
        <v>2263</v>
      </c>
      <c r="C31" s="278">
        <v>0.055</v>
      </c>
      <c r="D31" s="278">
        <v>0.082</v>
      </c>
      <c r="E31" s="278">
        <v>0.064</v>
      </c>
      <c r="F31" s="278">
        <v>0.1</v>
      </c>
      <c r="G31" s="279">
        <v>0.095</v>
      </c>
    </row>
    <row r="32" spans="1:7">
      <c r="A32" s="288" t="s">
        <v>251</v>
      </c>
      <c r="B32" s="277" t="s">
        <v>2277</v>
      </c>
      <c r="C32" s="278">
        <v>0.082</v>
      </c>
      <c r="D32" s="278">
        <v>0.087</v>
      </c>
      <c r="E32" s="278">
        <v>0.095</v>
      </c>
      <c r="F32" s="278">
        <v>0.1</v>
      </c>
      <c r="G32" s="279">
        <v>0.096</v>
      </c>
    </row>
    <row r="33" spans="1:7">
      <c r="A33" s="288" t="s">
        <v>251</v>
      </c>
      <c r="B33" s="277" t="s">
        <v>2289</v>
      </c>
      <c r="C33" s="278">
        <v>0.099</v>
      </c>
      <c r="D33" s="278">
        <v>0.092</v>
      </c>
      <c r="E33" s="278">
        <v>0.087</v>
      </c>
      <c r="F33" s="278">
        <v>0.1</v>
      </c>
      <c r="G33" s="279">
        <v>0.097</v>
      </c>
    </row>
    <row r="34" spans="1:7">
      <c r="A34" s="288" t="s">
        <v>251</v>
      </c>
      <c r="B34" s="277" t="s">
        <v>2301</v>
      </c>
      <c r="C34" s="278">
        <v>0.084</v>
      </c>
      <c r="D34" s="278">
        <v>0.097</v>
      </c>
      <c r="E34" s="278">
        <v>0.071</v>
      </c>
      <c r="F34" s="278">
        <v>0.1</v>
      </c>
      <c r="G34" s="279">
        <v>0.098</v>
      </c>
    </row>
    <row r="35" spans="1:7">
      <c r="A35" s="288" t="s">
        <v>251</v>
      </c>
      <c r="B35" s="277" t="s">
        <v>2312</v>
      </c>
      <c r="C35" s="278">
        <v>0.083</v>
      </c>
      <c r="D35" s="278">
        <v>0.097</v>
      </c>
      <c r="E35" s="278">
        <v>0.061</v>
      </c>
      <c r="F35" s="278">
        <v>0.1</v>
      </c>
      <c r="G35" s="279">
        <v>0.099</v>
      </c>
    </row>
    <row r="36" spans="1:7">
      <c r="A36" s="288" t="s">
        <v>251</v>
      </c>
      <c r="B36" s="277" t="s">
        <v>2323</v>
      </c>
      <c r="C36" s="278">
        <v>0.097</v>
      </c>
      <c r="D36" s="278">
        <v>0.097</v>
      </c>
      <c r="E36" s="278">
        <v>0.078</v>
      </c>
      <c r="F36" s="278">
        <v>0.1</v>
      </c>
      <c r="G36" s="279">
        <v>0.099</v>
      </c>
    </row>
    <row r="37" spans="1:7">
      <c r="A37" s="288" t="s">
        <v>251</v>
      </c>
      <c r="B37" s="277" t="s">
        <v>2334</v>
      </c>
      <c r="C37" s="278">
        <v>0.097</v>
      </c>
      <c r="D37" s="278">
        <v>0.095</v>
      </c>
      <c r="E37" s="278">
        <v>0.078</v>
      </c>
      <c r="F37" s="278">
        <v>0.1</v>
      </c>
      <c r="G37" s="279">
        <v>0.097</v>
      </c>
    </row>
    <row r="38" spans="1:7">
      <c r="A38" s="288" t="s">
        <v>251</v>
      </c>
      <c r="B38" s="277" t="s">
        <v>2344</v>
      </c>
      <c r="C38" s="278">
        <v>0.097</v>
      </c>
      <c r="D38" s="278">
        <v>0.077</v>
      </c>
      <c r="E38" s="278">
        <v>0.07</v>
      </c>
      <c r="F38" s="278">
        <v>0.1</v>
      </c>
      <c r="G38" s="279">
        <v>0.077</v>
      </c>
    </row>
    <row r="39" spans="1:7">
      <c r="A39" s="288" t="s">
        <v>251</v>
      </c>
      <c r="B39" s="277" t="s">
        <v>2354</v>
      </c>
      <c r="C39" s="278">
        <v>0.095</v>
      </c>
      <c r="D39" s="278">
        <v>0.077</v>
      </c>
      <c r="E39" s="278">
        <v>0.066</v>
      </c>
      <c r="F39" s="278">
        <v>0.1</v>
      </c>
      <c r="G39" s="279">
        <v>0.086</v>
      </c>
    </row>
    <row r="40" spans="1:7">
      <c r="A40" s="288" t="s">
        <v>251</v>
      </c>
      <c r="B40" s="277" t="s">
        <v>2364</v>
      </c>
      <c r="C40" s="278">
        <v>0.077</v>
      </c>
      <c r="D40" s="278">
        <v>0.078</v>
      </c>
      <c r="E40" s="278">
        <v>0.082</v>
      </c>
      <c r="F40" s="289"/>
      <c r="G40" s="279">
        <v>0.078</v>
      </c>
    </row>
    <row r="41" spans="1:7">
      <c r="A41" s="288" t="s">
        <v>251</v>
      </c>
      <c r="B41" s="277" t="s">
        <v>2374</v>
      </c>
      <c r="C41" s="278">
        <v>0.078</v>
      </c>
      <c r="D41" s="278">
        <v>0.078</v>
      </c>
      <c r="E41" s="278">
        <v>0.082</v>
      </c>
      <c r="F41" s="289"/>
      <c r="G41" s="279">
        <v>0.086</v>
      </c>
    </row>
    <row r="42" spans="1:7">
      <c r="A42" s="288" t="s">
        <v>251</v>
      </c>
      <c r="B42" s="277" t="s">
        <v>2384</v>
      </c>
      <c r="C42" s="278">
        <v>0.078</v>
      </c>
      <c r="D42" s="278">
        <v>0.096</v>
      </c>
      <c r="E42" s="278">
        <v>0.072</v>
      </c>
      <c r="F42" s="289"/>
      <c r="G42" s="279">
        <v>0.098</v>
      </c>
    </row>
    <row r="43" spans="1:7">
      <c r="A43" s="288" t="s">
        <v>251</v>
      </c>
      <c r="B43" s="277" t="s">
        <v>2394</v>
      </c>
      <c r="C43" s="278">
        <v>0.078</v>
      </c>
      <c r="D43" s="278">
        <v>0.099</v>
      </c>
      <c r="E43" s="278">
        <v>0.096</v>
      </c>
      <c r="F43" s="289"/>
      <c r="G43" s="279">
        <v>0.1</v>
      </c>
    </row>
    <row r="44" spans="1:7">
      <c r="A44" s="288" t="s">
        <v>251</v>
      </c>
      <c r="B44" s="277" t="s">
        <v>2404</v>
      </c>
      <c r="C44" s="278">
        <v>0.096</v>
      </c>
      <c r="D44" s="278">
        <v>0.1</v>
      </c>
      <c r="E44" s="278">
        <v>0.098</v>
      </c>
      <c r="F44" s="289"/>
      <c r="G44" s="279">
        <v>0.1</v>
      </c>
    </row>
    <row r="45" spans="1:7">
      <c r="A45" s="288" t="s">
        <v>251</v>
      </c>
      <c r="B45" s="277" t="s">
        <v>2414</v>
      </c>
      <c r="C45" s="278">
        <v>0.099</v>
      </c>
      <c r="D45" s="278">
        <v>0.098</v>
      </c>
      <c r="E45" s="278">
        <v>0.095</v>
      </c>
      <c r="F45" s="289"/>
      <c r="G45" s="279">
        <v>0.098</v>
      </c>
    </row>
    <row r="46" spans="1:7">
      <c r="A46" s="288" t="s">
        <v>251</v>
      </c>
      <c r="B46" s="277" t="s">
        <v>2424</v>
      </c>
      <c r="C46" s="278">
        <v>0.1</v>
      </c>
      <c r="D46" s="278">
        <v>0.099</v>
      </c>
      <c r="E46" s="278">
        <v>0.096</v>
      </c>
      <c r="F46" s="289"/>
      <c r="G46" s="279">
        <v>0.1</v>
      </c>
    </row>
    <row r="47" spans="1:7">
      <c r="A47" s="288" t="s">
        <v>251</v>
      </c>
      <c r="B47" s="277" t="s">
        <v>2434</v>
      </c>
      <c r="C47" s="278">
        <v>0.098</v>
      </c>
      <c r="D47" s="278">
        <v>0.087</v>
      </c>
      <c r="E47" s="278">
        <v>0.059</v>
      </c>
      <c r="F47" s="289"/>
      <c r="G47" s="279">
        <v>0.096</v>
      </c>
    </row>
    <row r="48" spans="1:7">
      <c r="A48" s="288" t="s">
        <v>251</v>
      </c>
      <c r="B48" s="277" t="s">
        <v>2444</v>
      </c>
      <c r="C48" s="278">
        <v>0.099</v>
      </c>
      <c r="D48" s="278">
        <v>0.098</v>
      </c>
      <c r="E48" s="278">
        <v>0.095</v>
      </c>
      <c r="F48" s="289"/>
      <c r="G48" s="279">
        <v>0.098</v>
      </c>
    </row>
    <row r="49" spans="1:7">
      <c r="A49" s="288" t="s">
        <v>251</v>
      </c>
      <c r="B49" s="277" t="s">
        <v>2454</v>
      </c>
      <c r="C49" s="278">
        <v>0.088</v>
      </c>
      <c r="D49" s="278">
        <v>0.099</v>
      </c>
      <c r="E49" s="278">
        <v>0.07</v>
      </c>
      <c r="F49" s="289"/>
      <c r="G49" s="279">
        <v>0.1</v>
      </c>
    </row>
    <row r="50" spans="1:7">
      <c r="A50" s="288" t="s">
        <v>251</v>
      </c>
      <c r="B50" s="277" t="s">
        <v>2463</v>
      </c>
      <c r="C50" s="278">
        <v>0.098</v>
      </c>
      <c r="D50" s="278">
        <v>0.073</v>
      </c>
      <c r="E50" s="278">
        <v>0.071</v>
      </c>
      <c r="F50" s="289"/>
      <c r="G50" s="279">
        <v>0.073</v>
      </c>
    </row>
    <row r="51" spans="1:7">
      <c r="A51" s="288" t="s">
        <v>251</v>
      </c>
      <c r="B51" s="277" t="s">
        <v>2471</v>
      </c>
      <c r="C51" s="278">
        <v>0.099</v>
      </c>
      <c r="D51" s="278">
        <v>0.085</v>
      </c>
      <c r="E51" s="278">
        <v>0.063</v>
      </c>
      <c r="F51" s="289"/>
      <c r="G51" s="279">
        <v>0.096</v>
      </c>
    </row>
    <row r="52" spans="1:7">
      <c r="A52" s="288" t="s">
        <v>251</v>
      </c>
      <c r="B52" s="277" t="s">
        <v>2479</v>
      </c>
      <c r="C52" s="278">
        <v>0.074</v>
      </c>
      <c r="D52" s="278">
        <v>0.096</v>
      </c>
      <c r="E52" s="278">
        <v>0.05</v>
      </c>
      <c r="F52" s="289"/>
      <c r="G52" s="279">
        <v>0.098</v>
      </c>
    </row>
    <row r="53" spans="1:7">
      <c r="A53" s="288" t="s">
        <v>251</v>
      </c>
      <c r="B53" s="277" t="s">
        <v>2487</v>
      </c>
      <c r="C53" s="278">
        <v>0.086</v>
      </c>
      <c r="D53" s="289"/>
      <c r="E53" s="278">
        <v>0.092</v>
      </c>
      <c r="F53" s="289"/>
      <c r="G53" s="290"/>
    </row>
    <row r="54" ht="14.75" spans="1:7">
      <c r="A54" s="291" t="s">
        <v>251</v>
      </c>
      <c r="B54" s="281" t="s">
        <v>2495</v>
      </c>
      <c r="C54" s="282">
        <v>0.096</v>
      </c>
      <c r="D54" s="283"/>
      <c r="E54" s="292"/>
      <c r="F54" s="283"/>
      <c r="G54" s="293"/>
    </row>
    <row r="55" spans="1:7">
      <c r="A55" s="287" t="s">
        <v>259</v>
      </c>
      <c r="B55" s="273" t="s">
        <v>2251</v>
      </c>
      <c r="C55" s="274">
        <v>0.096</v>
      </c>
      <c r="D55" s="274">
        <v>0.084</v>
      </c>
      <c r="E55" s="274">
        <v>0.092</v>
      </c>
      <c r="F55" s="274">
        <v>0.1</v>
      </c>
      <c r="G55" s="275">
        <v>0.095</v>
      </c>
    </row>
    <row r="56" spans="1:7">
      <c r="A56" s="288" t="s">
        <v>259</v>
      </c>
      <c r="B56" s="277" t="s">
        <v>2264</v>
      </c>
      <c r="C56" s="278">
        <v>0.084</v>
      </c>
      <c r="D56" s="278">
        <v>0.092</v>
      </c>
      <c r="E56" s="278">
        <v>0.095</v>
      </c>
      <c r="F56" s="278">
        <v>0.092</v>
      </c>
      <c r="G56" s="279">
        <v>0.096</v>
      </c>
    </row>
    <row r="57" spans="1:7">
      <c r="A57" s="288" t="s">
        <v>259</v>
      </c>
      <c r="B57" s="277" t="s">
        <v>2278</v>
      </c>
      <c r="C57" s="278">
        <v>0.099</v>
      </c>
      <c r="D57" s="278">
        <v>0.096</v>
      </c>
      <c r="E57" s="278">
        <v>0.092</v>
      </c>
      <c r="F57" s="278">
        <v>0.1</v>
      </c>
      <c r="G57" s="279">
        <v>0.098</v>
      </c>
    </row>
    <row r="58" spans="1:7">
      <c r="A58" s="288" t="s">
        <v>259</v>
      </c>
      <c r="B58" s="277" t="s">
        <v>2290</v>
      </c>
      <c r="C58" s="278">
        <v>0.098</v>
      </c>
      <c r="D58" s="278">
        <v>0.095</v>
      </c>
      <c r="E58" s="278">
        <v>0.057</v>
      </c>
      <c r="F58" s="278">
        <v>0.1</v>
      </c>
      <c r="G58" s="279">
        <v>0.096</v>
      </c>
    </row>
    <row r="59" spans="1:7">
      <c r="A59" s="288" t="s">
        <v>259</v>
      </c>
      <c r="B59" s="277" t="s">
        <v>2302</v>
      </c>
      <c r="C59" s="278">
        <v>0.095</v>
      </c>
      <c r="D59" s="278">
        <v>0.1</v>
      </c>
      <c r="E59" s="278">
        <v>0.075</v>
      </c>
      <c r="F59" s="278">
        <v>0.1</v>
      </c>
      <c r="G59" s="279">
        <v>0.1</v>
      </c>
    </row>
    <row r="60" spans="1:7">
      <c r="A60" s="288" t="s">
        <v>259</v>
      </c>
      <c r="B60" s="277" t="s">
        <v>2313</v>
      </c>
      <c r="C60" s="278">
        <v>0.1</v>
      </c>
      <c r="D60" s="278">
        <v>0.097</v>
      </c>
      <c r="E60" s="278">
        <v>0.1</v>
      </c>
      <c r="F60" s="278">
        <v>0.1</v>
      </c>
      <c r="G60" s="279">
        <v>0.097</v>
      </c>
    </row>
    <row r="61" spans="1:7">
      <c r="A61" s="288" t="s">
        <v>259</v>
      </c>
      <c r="B61" s="277" t="s">
        <v>2324</v>
      </c>
      <c r="C61" s="278">
        <v>0.097</v>
      </c>
      <c r="D61" s="278">
        <v>0.1</v>
      </c>
      <c r="E61" s="278">
        <v>0.093</v>
      </c>
      <c r="F61" s="278">
        <v>0.1</v>
      </c>
      <c r="G61" s="279">
        <v>0.1</v>
      </c>
    </row>
    <row r="62" spans="1:7">
      <c r="A62" s="288" t="s">
        <v>259</v>
      </c>
      <c r="B62" s="277" t="s">
        <v>2335</v>
      </c>
      <c r="C62" s="278">
        <v>0.1</v>
      </c>
      <c r="D62" s="278">
        <v>0.097</v>
      </c>
      <c r="E62" s="278">
        <v>0.089</v>
      </c>
      <c r="F62" s="278">
        <v>0.1</v>
      </c>
      <c r="G62" s="279">
        <v>0.098</v>
      </c>
    </row>
    <row r="63" spans="1:7">
      <c r="A63" s="288" t="s">
        <v>259</v>
      </c>
      <c r="B63" s="277" t="s">
        <v>2345</v>
      </c>
      <c r="C63" s="278">
        <v>0.097</v>
      </c>
      <c r="D63" s="278">
        <v>0.097</v>
      </c>
      <c r="E63" s="278">
        <v>0.099</v>
      </c>
      <c r="F63" s="278">
        <v>0.1</v>
      </c>
      <c r="G63" s="279">
        <v>0.097</v>
      </c>
    </row>
    <row r="64" spans="1:7">
      <c r="A64" s="288" t="s">
        <v>259</v>
      </c>
      <c r="B64" s="277" t="s">
        <v>2355</v>
      </c>
      <c r="C64" s="278">
        <v>0.097</v>
      </c>
      <c r="D64" s="278">
        <v>0.074</v>
      </c>
      <c r="E64" s="278">
        <v>0.078</v>
      </c>
      <c r="F64" s="278">
        <v>0.1</v>
      </c>
      <c r="G64" s="279">
        <v>0.089</v>
      </c>
    </row>
    <row r="65" spans="1:7">
      <c r="A65" s="288" t="s">
        <v>259</v>
      </c>
      <c r="B65" s="277" t="s">
        <v>2365</v>
      </c>
      <c r="C65" s="278">
        <v>0.073</v>
      </c>
      <c r="D65" s="278">
        <v>0.098</v>
      </c>
      <c r="E65" s="278">
        <v>0.095</v>
      </c>
      <c r="F65" s="278">
        <v>0.1</v>
      </c>
      <c r="G65" s="279">
        <v>0.099</v>
      </c>
    </row>
    <row r="66" spans="1:7">
      <c r="A66" s="288" t="s">
        <v>259</v>
      </c>
      <c r="B66" s="277" t="s">
        <v>2375</v>
      </c>
      <c r="C66" s="278">
        <v>0.098</v>
      </c>
      <c r="D66" s="278">
        <v>0.095</v>
      </c>
      <c r="E66" s="278">
        <v>0.05</v>
      </c>
      <c r="F66" s="278">
        <v>0.1</v>
      </c>
      <c r="G66" s="279">
        <v>0.097</v>
      </c>
    </row>
    <row r="67" spans="1:7">
      <c r="A67" s="288" t="s">
        <v>259</v>
      </c>
      <c r="B67" s="277" t="s">
        <v>2385</v>
      </c>
      <c r="C67" s="278">
        <v>0.095</v>
      </c>
      <c r="D67" s="278">
        <v>0.097</v>
      </c>
      <c r="E67" s="278">
        <v>0.097</v>
      </c>
      <c r="F67" s="278">
        <v>0.1</v>
      </c>
      <c r="G67" s="279">
        <v>0.099</v>
      </c>
    </row>
    <row r="68" spans="1:7">
      <c r="A68" s="288" t="s">
        <v>259</v>
      </c>
      <c r="B68" s="277" t="s">
        <v>2395</v>
      </c>
      <c r="C68" s="278">
        <v>0.097</v>
      </c>
      <c r="D68" s="278">
        <v>0.068</v>
      </c>
      <c r="E68" s="278">
        <v>0.066</v>
      </c>
      <c r="F68" s="278">
        <v>0.1</v>
      </c>
      <c r="G68" s="279">
        <v>0.084</v>
      </c>
    </row>
    <row r="69" spans="1:7">
      <c r="A69" s="288" t="s">
        <v>259</v>
      </c>
      <c r="B69" s="277" t="s">
        <v>2405</v>
      </c>
      <c r="C69" s="278">
        <v>0.068</v>
      </c>
      <c r="D69" s="278">
        <v>0.098</v>
      </c>
      <c r="E69" s="278">
        <v>0.095</v>
      </c>
      <c r="F69" s="278">
        <v>0.1</v>
      </c>
      <c r="G69" s="279">
        <v>0.1</v>
      </c>
    </row>
    <row r="70" spans="1:7">
      <c r="A70" s="288" t="s">
        <v>259</v>
      </c>
      <c r="B70" s="277" t="s">
        <v>2415</v>
      </c>
      <c r="C70" s="278">
        <v>0.098</v>
      </c>
      <c r="D70" s="278">
        <v>0.089</v>
      </c>
      <c r="E70" s="278">
        <v>0.059</v>
      </c>
      <c r="F70" s="278">
        <v>0.1</v>
      </c>
      <c r="G70" s="279">
        <v>0.096</v>
      </c>
    </row>
    <row r="71" spans="1:7">
      <c r="A71" s="288" t="s">
        <v>259</v>
      </c>
      <c r="B71" s="277" t="s">
        <v>2425</v>
      </c>
      <c r="C71" s="278">
        <v>0.089</v>
      </c>
      <c r="D71" s="278">
        <v>0.099</v>
      </c>
      <c r="E71" s="278">
        <v>0.096</v>
      </c>
      <c r="F71" s="278">
        <v>0.1</v>
      </c>
      <c r="G71" s="279">
        <v>0.1</v>
      </c>
    </row>
    <row r="72" spans="1:7">
      <c r="A72" s="288" t="s">
        <v>259</v>
      </c>
      <c r="B72" s="277" t="s">
        <v>2435</v>
      </c>
      <c r="C72" s="278">
        <v>0.099</v>
      </c>
      <c r="D72" s="278">
        <v>0.1</v>
      </c>
      <c r="E72" s="278">
        <v>0.07</v>
      </c>
      <c r="F72" s="289"/>
      <c r="G72" s="279">
        <v>0.1</v>
      </c>
    </row>
    <row r="73" spans="1:7">
      <c r="A73" s="288" t="s">
        <v>259</v>
      </c>
      <c r="B73" s="277" t="s">
        <v>2445</v>
      </c>
      <c r="C73" s="278">
        <v>0.1</v>
      </c>
      <c r="D73" s="278">
        <v>0.1</v>
      </c>
      <c r="E73" s="278">
        <v>0.096</v>
      </c>
      <c r="F73" s="289"/>
      <c r="G73" s="279">
        <v>0.1</v>
      </c>
    </row>
    <row r="74" spans="1:7">
      <c r="A74" s="288" t="s">
        <v>259</v>
      </c>
      <c r="B74" s="277" t="s">
        <v>2455</v>
      </c>
      <c r="C74" s="278">
        <v>0.1</v>
      </c>
      <c r="D74" s="278">
        <v>0.1</v>
      </c>
      <c r="E74" s="278">
        <v>0.098</v>
      </c>
      <c r="F74" s="289"/>
      <c r="G74" s="279">
        <v>0.1</v>
      </c>
    </row>
    <row r="75" spans="1:7">
      <c r="A75" s="288" t="s">
        <v>259</v>
      </c>
      <c r="B75" s="277" t="s">
        <v>2464</v>
      </c>
      <c r="C75" s="278">
        <v>0.1</v>
      </c>
      <c r="D75" s="278">
        <v>0.099</v>
      </c>
      <c r="E75" s="278">
        <v>0.098</v>
      </c>
      <c r="F75" s="289"/>
      <c r="G75" s="279">
        <v>0.1</v>
      </c>
    </row>
    <row r="76" spans="1:7">
      <c r="A76" s="288" t="s">
        <v>259</v>
      </c>
      <c r="B76" s="277" t="s">
        <v>2472</v>
      </c>
      <c r="C76" s="278">
        <v>0.099</v>
      </c>
      <c r="D76" s="278">
        <v>0.1</v>
      </c>
      <c r="E76" s="278">
        <v>0.097</v>
      </c>
      <c r="F76" s="289"/>
      <c r="G76" s="279">
        <v>0.1</v>
      </c>
    </row>
    <row r="77" spans="1:7">
      <c r="A77" s="288" t="s">
        <v>259</v>
      </c>
      <c r="B77" s="277" t="s">
        <v>2480</v>
      </c>
      <c r="C77" s="278">
        <v>0.1</v>
      </c>
      <c r="D77" s="278">
        <v>0.1</v>
      </c>
      <c r="E77" s="278">
        <v>0.096</v>
      </c>
      <c r="F77" s="289"/>
      <c r="G77" s="279">
        <v>0.1</v>
      </c>
    </row>
    <row r="78" spans="1:7">
      <c r="A78" s="288" t="s">
        <v>259</v>
      </c>
      <c r="B78" s="277" t="s">
        <v>2488</v>
      </c>
      <c r="C78" s="278">
        <v>0.1</v>
      </c>
      <c r="D78" s="278">
        <v>0.085</v>
      </c>
      <c r="E78" s="278">
        <v>0.096</v>
      </c>
      <c r="F78" s="289"/>
      <c r="G78" s="279">
        <v>0.096</v>
      </c>
    </row>
    <row r="79" spans="1:7">
      <c r="A79" s="288" t="s">
        <v>259</v>
      </c>
      <c r="B79" s="277" t="s">
        <v>2496</v>
      </c>
      <c r="C79" s="278">
        <v>0.05</v>
      </c>
      <c r="D79" s="278">
        <v>0.096</v>
      </c>
      <c r="E79" s="278">
        <v>0.095</v>
      </c>
      <c r="F79" s="289"/>
      <c r="G79" s="279">
        <v>0.098</v>
      </c>
    </row>
    <row r="80" spans="1:7">
      <c r="A80" s="288" t="s">
        <v>259</v>
      </c>
      <c r="B80" s="277" t="s">
        <v>2503</v>
      </c>
      <c r="C80" s="278">
        <v>0.086</v>
      </c>
      <c r="D80" s="294"/>
      <c r="E80" s="278">
        <v>0.1</v>
      </c>
      <c r="F80" s="289"/>
      <c r="G80" s="290"/>
    </row>
    <row r="81" spans="1:7">
      <c r="A81" s="288" t="s">
        <v>259</v>
      </c>
      <c r="B81" s="277" t="s">
        <v>2509</v>
      </c>
      <c r="C81" s="278">
        <v>0.096</v>
      </c>
      <c r="D81" s="289"/>
      <c r="E81" s="278">
        <v>0.098</v>
      </c>
      <c r="F81" s="289"/>
      <c r="G81" s="290"/>
    </row>
    <row r="82" spans="1:7">
      <c r="A82" s="288" t="s">
        <v>259</v>
      </c>
      <c r="B82" s="277" t="s">
        <v>2516</v>
      </c>
      <c r="C82" s="294"/>
      <c r="D82" s="289"/>
      <c r="E82" s="278">
        <v>0.077</v>
      </c>
      <c r="F82" s="289"/>
      <c r="G82" s="290"/>
    </row>
    <row r="83" spans="1:7">
      <c r="A83" s="288" t="s">
        <v>259</v>
      </c>
      <c r="B83" s="277" t="s">
        <v>2523</v>
      </c>
      <c r="C83" s="289"/>
      <c r="D83" s="289"/>
      <c r="E83" s="289"/>
      <c r="F83" s="278">
        <v>0.1</v>
      </c>
      <c r="G83" s="295"/>
    </row>
    <row r="84" spans="1:7">
      <c r="A84" s="288" t="s">
        <v>259</v>
      </c>
      <c r="B84" s="277" t="s">
        <v>2530</v>
      </c>
      <c r="C84" s="289"/>
      <c r="D84" s="289"/>
      <c r="E84" s="289"/>
      <c r="F84" s="278">
        <v>0.1</v>
      </c>
      <c r="G84" s="295"/>
    </row>
    <row r="85" spans="1:7">
      <c r="A85" s="288" t="s">
        <v>259</v>
      </c>
      <c r="B85" s="277" t="s">
        <v>2537</v>
      </c>
      <c r="C85" s="289"/>
      <c r="D85" s="289"/>
      <c r="E85" s="289"/>
      <c r="F85" s="278">
        <v>0.1</v>
      </c>
      <c r="G85" s="295"/>
    </row>
    <row r="86" ht="14.75" spans="1:7">
      <c r="A86" s="291" t="s">
        <v>259</v>
      </c>
      <c r="B86" s="281" t="s">
        <v>2544</v>
      </c>
      <c r="C86" s="282">
        <v>0.098</v>
      </c>
      <c r="D86" s="282">
        <v>0.098</v>
      </c>
      <c r="E86" s="282">
        <v>0.096</v>
      </c>
      <c r="F86" s="292"/>
      <c r="G86" s="284">
        <v>0.1</v>
      </c>
    </row>
    <row r="87" spans="1:7">
      <c r="A87" s="287" t="s">
        <v>267</v>
      </c>
      <c r="B87" s="273" t="s">
        <v>2252</v>
      </c>
      <c r="C87" s="274">
        <v>0.1</v>
      </c>
      <c r="D87" s="274">
        <v>0.1</v>
      </c>
      <c r="E87" s="274">
        <v>0.098</v>
      </c>
      <c r="F87" s="274">
        <v>0.1</v>
      </c>
      <c r="G87" s="275">
        <v>0.1</v>
      </c>
    </row>
    <row r="88" spans="1:7">
      <c r="A88" s="288" t="s">
        <v>267</v>
      </c>
      <c r="B88" s="277" t="s">
        <v>2265</v>
      </c>
      <c r="C88" s="278">
        <v>0.091</v>
      </c>
      <c r="D88" s="278">
        <v>0.092</v>
      </c>
      <c r="E88" s="278">
        <v>0.1</v>
      </c>
      <c r="F88" s="278">
        <v>0.1</v>
      </c>
      <c r="G88" s="279">
        <v>0.096</v>
      </c>
    </row>
    <row r="89" spans="1:7">
      <c r="A89" s="288" t="s">
        <v>267</v>
      </c>
      <c r="B89" s="277" t="s">
        <v>2279</v>
      </c>
      <c r="C89" s="278">
        <v>0.1</v>
      </c>
      <c r="D89" s="278">
        <v>0.1</v>
      </c>
      <c r="E89" s="278">
        <v>0.067</v>
      </c>
      <c r="F89" s="278">
        <v>0.093</v>
      </c>
      <c r="G89" s="279">
        <v>0.1</v>
      </c>
    </row>
    <row r="90" spans="1:7">
      <c r="A90" s="288" t="s">
        <v>267</v>
      </c>
      <c r="B90" s="277" t="s">
        <v>2291</v>
      </c>
      <c r="C90" s="278">
        <v>0.096</v>
      </c>
      <c r="D90" s="278">
        <v>0.096</v>
      </c>
      <c r="E90" s="278">
        <v>0.1</v>
      </c>
      <c r="F90" s="278">
        <v>0.1</v>
      </c>
      <c r="G90" s="279">
        <v>0.098</v>
      </c>
    </row>
    <row r="91" spans="1:7">
      <c r="A91" s="288" t="s">
        <v>267</v>
      </c>
      <c r="B91" s="277" t="s">
        <v>2303</v>
      </c>
      <c r="C91" s="278">
        <v>0.077</v>
      </c>
      <c r="D91" s="278">
        <v>0.077</v>
      </c>
      <c r="E91" s="278">
        <v>0.096</v>
      </c>
      <c r="F91" s="278">
        <v>0.1</v>
      </c>
      <c r="G91" s="279">
        <v>0.077</v>
      </c>
    </row>
    <row r="92" spans="1:7">
      <c r="A92" s="288" t="s">
        <v>267</v>
      </c>
      <c r="B92" s="277" t="s">
        <v>2314</v>
      </c>
      <c r="C92" s="278">
        <v>0.1</v>
      </c>
      <c r="D92" s="278">
        <v>0.1</v>
      </c>
      <c r="E92" s="278">
        <v>0.092</v>
      </c>
      <c r="F92" s="278">
        <v>0.1</v>
      </c>
      <c r="G92" s="279">
        <v>0.1</v>
      </c>
    </row>
    <row r="93" spans="1:7">
      <c r="A93" s="288" t="s">
        <v>267</v>
      </c>
      <c r="B93" s="277" t="s">
        <v>2325</v>
      </c>
      <c r="C93" s="278">
        <v>0.098</v>
      </c>
      <c r="D93" s="278">
        <v>0.098</v>
      </c>
      <c r="E93" s="278">
        <v>0.096</v>
      </c>
      <c r="F93" s="278">
        <v>0.1</v>
      </c>
      <c r="G93" s="279">
        <v>0.099</v>
      </c>
    </row>
    <row r="94" spans="1:7">
      <c r="A94" s="288" t="s">
        <v>267</v>
      </c>
      <c r="B94" s="277" t="s">
        <v>2336</v>
      </c>
      <c r="C94" s="278">
        <v>0.088</v>
      </c>
      <c r="D94" s="278">
        <v>0.088</v>
      </c>
      <c r="E94" s="278">
        <v>0.096</v>
      </c>
      <c r="F94" s="278">
        <v>0.1</v>
      </c>
      <c r="G94" s="279">
        <v>0.088</v>
      </c>
    </row>
    <row r="95" spans="1:7">
      <c r="A95" s="288" t="s">
        <v>267</v>
      </c>
      <c r="B95" s="277" t="s">
        <v>2346</v>
      </c>
      <c r="C95" s="278">
        <v>0.096</v>
      </c>
      <c r="D95" s="278">
        <v>0.096</v>
      </c>
      <c r="E95" s="278">
        <v>0.1</v>
      </c>
      <c r="F95" s="278">
        <v>0.1</v>
      </c>
      <c r="G95" s="279">
        <v>0.098</v>
      </c>
    </row>
    <row r="96" spans="1:7">
      <c r="A96" s="288" t="s">
        <v>267</v>
      </c>
      <c r="B96" s="277" t="s">
        <v>2356</v>
      </c>
      <c r="C96" s="278">
        <v>0.097</v>
      </c>
      <c r="D96" s="278">
        <v>0.097</v>
      </c>
      <c r="E96" s="278">
        <v>0.1</v>
      </c>
      <c r="F96" s="278">
        <v>0.1</v>
      </c>
      <c r="G96" s="279">
        <v>0.098</v>
      </c>
    </row>
    <row r="97" spans="1:7">
      <c r="A97" s="288" t="s">
        <v>267</v>
      </c>
      <c r="B97" s="277" t="s">
        <v>2366</v>
      </c>
      <c r="C97" s="278">
        <v>0.096</v>
      </c>
      <c r="D97" s="278">
        <v>0.096</v>
      </c>
      <c r="E97" s="278">
        <v>0.099</v>
      </c>
      <c r="F97" s="278">
        <v>0.1</v>
      </c>
      <c r="G97" s="279">
        <v>0.098</v>
      </c>
    </row>
    <row r="98" spans="1:7">
      <c r="A98" s="288" t="s">
        <v>267</v>
      </c>
      <c r="B98" s="277" t="s">
        <v>2376</v>
      </c>
      <c r="C98" s="278">
        <v>0.098</v>
      </c>
      <c r="D98" s="278">
        <v>0.098</v>
      </c>
      <c r="E98" s="278">
        <v>0.1</v>
      </c>
      <c r="F98" s="278">
        <v>0.1</v>
      </c>
      <c r="G98" s="279">
        <v>0.099</v>
      </c>
    </row>
    <row r="99" spans="1:7">
      <c r="A99" s="288" t="s">
        <v>267</v>
      </c>
      <c r="B99" s="277" t="s">
        <v>2386</v>
      </c>
      <c r="C99" s="278">
        <v>0.096</v>
      </c>
      <c r="D99" s="278">
        <v>0.096</v>
      </c>
      <c r="E99" s="278">
        <v>0.1</v>
      </c>
      <c r="F99" s="278">
        <v>0.1</v>
      </c>
      <c r="G99" s="279">
        <v>0.097</v>
      </c>
    </row>
    <row r="100" spans="1:7">
      <c r="A100" s="288" t="s">
        <v>267</v>
      </c>
      <c r="B100" s="277" t="s">
        <v>2396</v>
      </c>
      <c r="C100" s="278">
        <v>0.1</v>
      </c>
      <c r="D100" s="278">
        <v>0.1</v>
      </c>
      <c r="E100" s="278">
        <v>0.097</v>
      </c>
      <c r="F100" s="278">
        <v>0.098</v>
      </c>
      <c r="G100" s="279">
        <v>0.1</v>
      </c>
    </row>
    <row r="101" spans="1:7">
      <c r="A101" s="288" t="s">
        <v>267</v>
      </c>
      <c r="B101" s="277" t="s">
        <v>2406</v>
      </c>
      <c r="C101" s="278">
        <v>0.1</v>
      </c>
      <c r="D101" s="278">
        <v>0.1</v>
      </c>
      <c r="E101" s="278">
        <v>0.095</v>
      </c>
      <c r="F101" s="278">
        <v>0.1</v>
      </c>
      <c r="G101" s="279">
        <v>0.1</v>
      </c>
    </row>
    <row r="102" spans="1:7">
      <c r="A102" s="288" t="s">
        <v>267</v>
      </c>
      <c r="B102" s="277" t="s">
        <v>2416</v>
      </c>
      <c r="C102" s="278">
        <v>0.1</v>
      </c>
      <c r="D102" s="278">
        <v>0.1</v>
      </c>
      <c r="E102" s="278">
        <v>0.099</v>
      </c>
      <c r="F102" s="278">
        <v>0.097</v>
      </c>
      <c r="G102" s="279">
        <v>0.1</v>
      </c>
    </row>
    <row r="103" spans="1:7">
      <c r="A103" s="288" t="s">
        <v>267</v>
      </c>
      <c r="B103" s="277" t="s">
        <v>2426</v>
      </c>
      <c r="C103" s="278">
        <v>0.1</v>
      </c>
      <c r="D103" s="278">
        <v>0.1</v>
      </c>
      <c r="E103" s="278">
        <v>0.098</v>
      </c>
      <c r="F103" s="278">
        <v>0.1</v>
      </c>
      <c r="G103" s="279">
        <v>0.1</v>
      </c>
    </row>
    <row r="104" spans="1:7">
      <c r="A104" s="288" t="s">
        <v>267</v>
      </c>
      <c r="B104" s="277" t="s">
        <v>2436</v>
      </c>
      <c r="C104" s="278">
        <v>0.1</v>
      </c>
      <c r="D104" s="278">
        <v>0.1</v>
      </c>
      <c r="E104" s="278">
        <v>0.098</v>
      </c>
      <c r="F104" s="278">
        <v>0.1</v>
      </c>
      <c r="G104" s="279">
        <v>0.1</v>
      </c>
    </row>
    <row r="105" spans="1:7">
      <c r="A105" s="288" t="s">
        <v>267</v>
      </c>
      <c r="B105" s="277" t="s">
        <v>2446</v>
      </c>
      <c r="C105" s="278">
        <v>0.098</v>
      </c>
      <c r="D105" s="278">
        <v>0.098</v>
      </c>
      <c r="E105" s="278">
        <v>0.098</v>
      </c>
      <c r="F105" s="278">
        <v>0.1</v>
      </c>
      <c r="G105" s="279">
        <v>0.099</v>
      </c>
    </row>
    <row r="106" spans="1:7">
      <c r="A106" s="288" t="s">
        <v>267</v>
      </c>
      <c r="B106" s="277" t="s">
        <v>2456</v>
      </c>
      <c r="C106" s="278">
        <v>0.097</v>
      </c>
      <c r="D106" s="278">
        <v>0.097</v>
      </c>
      <c r="E106" s="278">
        <v>0.097</v>
      </c>
      <c r="F106" s="278">
        <v>0.1</v>
      </c>
      <c r="G106" s="279">
        <v>0.099</v>
      </c>
    </row>
    <row r="107" spans="1:7">
      <c r="A107" s="288" t="s">
        <v>267</v>
      </c>
      <c r="B107" s="277" t="s">
        <v>2465</v>
      </c>
      <c r="C107" s="278">
        <v>0.1</v>
      </c>
      <c r="D107" s="278">
        <v>0.1</v>
      </c>
      <c r="E107" s="278">
        <v>0.086</v>
      </c>
      <c r="F107" s="278">
        <v>0.09</v>
      </c>
      <c r="G107" s="279">
        <v>0.1</v>
      </c>
    </row>
    <row r="108" spans="1:7">
      <c r="A108" s="288" t="s">
        <v>267</v>
      </c>
      <c r="B108" s="277" t="s">
        <v>2473</v>
      </c>
      <c r="C108" s="278">
        <v>0.1</v>
      </c>
      <c r="D108" s="278">
        <v>0.1</v>
      </c>
      <c r="E108" s="278">
        <v>0.096</v>
      </c>
      <c r="F108" s="289"/>
      <c r="G108" s="279">
        <v>0.1</v>
      </c>
    </row>
    <row r="109" spans="1:7">
      <c r="A109" s="288" t="s">
        <v>267</v>
      </c>
      <c r="B109" s="277" t="s">
        <v>2481</v>
      </c>
      <c r="C109" s="278">
        <v>0.1</v>
      </c>
      <c r="D109" s="278">
        <v>0.1</v>
      </c>
      <c r="E109" s="278">
        <v>0.1</v>
      </c>
      <c r="F109" s="289"/>
      <c r="G109" s="279">
        <v>0.1</v>
      </c>
    </row>
    <row r="110" spans="1:7">
      <c r="A110" s="288" t="s">
        <v>267</v>
      </c>
      <c r="B110" s="277" t="s">
        <v>2489</v>
      </c>
      <c r="C110" s="278">
        <v>0.1</v>
      </c>
      <c r="D110" s="278">
        <v>0.1</v>
      </c>
      <c r="E110" s="278">
        <v>0.1</v>
      </c>
      <c r="F110" s="289"/>
      <c r="G110" s="279">
        <v>0.1</v>
      </c>
    </row>
    <row r="111" spans="1:7">
      <c r="A111" s="288" t="s">
        <v>267</v>
      </c>
      <c r="B111" s="277" t="s">
        <v>2497</v>
      </c>
      <c r="C111" s="278">
        <v>0.1</v>
      </c>
      <c r="D111" s="278">
        <v>0.1</v>
      </c>
      <c r="E111" s="278">
        <v>0.095</v>
      </c>
      <c r="F111" s="289"/>
      <c r="G111" s="279">
        <v>0.1</v>
      </c>
    </row>
    <row r="112" spans="1:7">
      <c r="A112" s="288" t="s">
        <v>267</v>
      </c>
      <c r="B112" s="277" t="s">
        <v>2504</v>
      </c>
      <c r="C112" s="278">
        <v>0.097</v>
      </c>
      <c r="D112" s="278">
        <v>0.097</v>
      </c>
      <c r="E112" s="278">
        <v>0.05</v>
      </c>
      <c r="F112" s="289"/>
      <c r="G112" s="279">
        <v>0.098</v>
      </c>
    </row>
    <row r="113" spans="1:7">
      <c r="A113" s="288" t="s">
        <v>267</v>
      </c>
      <c r="B113" s="277" t="s">
        <v>2510</v>
      </c>
      <c r="C113" s="278">
        <v>0.1</v>
      </c>
      <c r="D113" s="278">
        <v>0.1</v>
      </c>
      <c r="E113" s="289"/>
      <c r="F113" s="289"/>
      <c r="G113" s="279">
        <v>0.1</v>
      </c>
    </row>
    <row r="114" spans="1:7">
      <c r="A114" s="288" t="s">
        <v>267</v>
      </c>
      <c r="B114" s="277" t="s">
        <v>2517</v>
      </c>
      <c r="C114" s="278">
        <v>0.097</v>
      </c>
      <c r="D114" s="278">
        <v>0.097</v>
      </c>
      <c r="E114" s="289"/>
      <c r="F114" s="289"/>
      <c r="G114" s="279">
        <v>0.099</v>
      </c>
    </row>
    <row r="115" spans="1:7">
      <c r="A115" s="288" t="s">
        <v>267</v>
      </c>
      <c r="B115" s="277" t="s">
        <v>2524</v>
      </c>
      <c r="C115" s="278">
        <v>0.1</v>
      </c>
      <c r="D115" s="278">
        <v>0.1</v>
      </c>
      <c r="E115" s="289"/>
      <c r="F115" s="289"/>
      <c r="G115" s="279">
        <v>0.1</v>
      </c>
    </row>
    <row r="116" spans="1:7">
      <c r="A116" s="288" t="s">
        <v>267</v>
      </c>
      <c r="B116" s="277" t="s">
        <v>2531</v>
      </c>
      <c r="C116" s="278">
        <v>0.1</v>
      </c>
      <c r="D116" s="278">
        <v>0.1</v>
      </c>
      <c r="E116" s="289"/>
      <c r="F116" s="289"/>
      <c r="G116" s="279">
        <v>0.1</v>
      </c>
    </row>
    <row r="117" spans="1:7">
      <c r="A117" s="288" t="s">
        <v>267</v>
      </c>
      <c r="B117" s="277" t="s">
        <v>2538</v>
      </c>
      <c r="C117" s="278">
        <v>0.097</v>
      </c>
      <c r="D117" s="278">
        <v>0.097</v>
      </c>
      <c r="E117" s="289"/>
      <c r="F117" s="289"/>
      <c r="G117" s="279">
        <v>0.097</v>
      </c>
    </row>
    <row r="118" spans="1:7">
      <c r="A118" s="288" t="s">
        <v>267</v>
      </c>
      <c r="B118" s="277" t="s">
        <v>2545</v>
      </c>
      <c r="C118" s="278">
        <v>0.1</v>
      </c>
      <c r="D118" s="278">
        <v>0.1</v>
      </c>
      <c r="E118" s="289"/>
      <c r="F118" s="289"/>
      <c r="G118" s="279">
        <v>0.1</v>
      </c>
    </row>
    <row r="119" spans="1:7">
      <c r="A119" s="288" t="s">
        <v>267</v>
      </c>
      <c r="B119" s="277" t="s">
        <v>2550</v>
      </c>
      <c r="C119" s="278">
        <v>0.051</v>
      </c>
      <c r="D119" s="278">
        <v>0.052</v>
      </c>
      <c r="E119" s="289"/>
      <c r="F119" s="294"/>
      <c r="G119" s="279">
        <v>0.06</v>
      </c>
    </row>
    <row r="120" spans="1:7">
      <c r="A120" s="288" t="s">
        <v>267</v>
      </c>
      <c r="B120" s="277" t="s">
        <v>2555</v>
      </c>
      <c r="C120" s="289"/>
      <c r="D120" s="289"/>
      <c r="E120" s="289"/>
      <c r="F120" s="278">
        <v>0.1</v>
      </c>
      <c r="G120" s="295"/>
    </row>
    <row r="121" spans="1:7">
      <c r="A121" s="288" t="s">
        <v>267</v>
      </c>
      <c r="B121" s="277" t="s">
        <v>2560</v>
      </c>
      <c r="C121" s="289"/>
      <c r="D121" s="289"/>
      <c r="E121" s="289"/>
      <c r="F121" s="278">
        <v>0.1</v>
      </c>
      <c r="G121" s="295"/>
    </row>
    <row r="122" spans="1:7">
      <c r="A122" s="288" t="s">
        <v>267</v>
      </c>
      <c r="B122" s="277" t="s">
        <v>2565</v>
      </c>
      <c r="C122" s="278">
        <v>0.1</v>
      </c>
      <c r="D122" s="278">
        <v>0.1</v>
      </c>
      <c r="E122" s="278">
        <v>0.098</v>
      </c>
      <c r="F122" s="278">
        <v>0.1</v>
      </c>
      <c r="G122" s="279">
        <v>0.1</v>
      </c>
    </row>
    <row r="123" spans="1:7">
      <c r="A123" s="288" t="s">
        <v>267</v>
      </c>
      <c r="B123" s="277" t="s">
        <v>2570</v>
      </c>
      <c r="C123" s="278">
        <v>0.1</v>
      </c>
      <c r="D123" s="278">
        <v>0.1</v>
      </c>
      <c r="E123" s="278">
        <v>0.098</v>
      </c>
      <c r="F123" s="278">
        <v>0.1</v>
      </c>
      <c r="G123" s="279">
        <v>0.1</v>
      </c>
    </row>
    <row r="124" spans="1:7">
      <c r="A124" s="288" t="s">
        <v>267</v>
      </c>
      <c r="B124" s="277" t="s">
        <v>2575</v>
      </c>
      <c r="C124" s="278">
        <v>0.1</v>
      </c>
      <c r="D124" s="278">
        <v>0.1</v>
      </c>
      <c r="E124" s="278">
        <v>0.098</v>
      </c>
      <c r="F124" s="294"/>
      <c r="G124" s="279">
        <v>0.1</v>
      </c>
    </row>
    <row r="125" spans="1:7">
      <c r="A125" s="288" t="s">
        <v>267</v>
      </c>
      <c r="B125" s="277" t="s">
        <v>2580</v>
      </c>
      <c r="C125" s="278">
        <v>0.098</v>
      </c>
      <c r="D125" s="278">
        <v>0.098</v>
      </c>
      <c r="E125" s="278">
        <v>0.096</v>
      </c>
      <c r="F125" s="294"/>
      <c r="G125" s="279">
        <v>0.1</v>
      </c>
    </row>
    <row r="126" ht="14.75" spans="1:7">
      <c r="A126" s="291" t="s">
        <v>267</v>
      </c>
      <c r="B126" s="281" t="s">
        <v>2585</v>
      </c>
      <c r="C126" s="282">
        <v>0.1</v>
      </c>
      <c r="D126" s="282">
        <v>0.1</v>
      </c>
      <c r="E126" s="282">
        <v>0.098</v>
      </c>
      <c r="F126" s="282">
        <v>0.1</v>
      </c>
      <c r="G126" s="284">
        <v>0.1</v>
      </c>
    </row>
    <row r="127" spans="1:7">
      <c r="A127" s="287" t="s">
        <v>273</v>
      </c>
      <c r="B127" s="273" t="s">
        <v>2253</v>
      </c>
      <c r="C127" s="274">
        <v>0.121</v>
      </c>
      <c r="D127" s="274">
        <v>0.121</v>
      </c>
      <c r="E127" s="274">
        <v>0.107</v>
      </c>
      <c r="F127" s="274">
        <v>0.13</v>
      </c>
      <c r="G127" s="275">
        <v>0.122</v>
      </c>
    </row>
    <row r="128" spans="1:7">
      <c r="A128" s="288" t="s">
        <v>273</v>
      </c>
      <c r="B128" s="277" t="s">
        <v>2266</v>
      </c>
      <c r="C128" s="278">
        <v>0.116</v>
      </c>
      <c r="D128" s="278">
        <v>0.117</v>
      </c>
      <c r="E128" s="278">
        <v>0.104</v>
      </c>
      <c r="F128" s="278">
        <v>0.13</v>
      </c>
      <c r="G128" s="279">
        <v>0.117</v>
      </c>
    </row>
    <row r="129" spans="1:7">
      <c r="A129" s="288" t="s">
        <v>273</v>
      </c>
      <c r="B129" s="277" t="s">
        <v>2280</v>
      </c>
      <c r="C129" s="278">
        <v>0.107</v>
      </c>
      <c r="D129" s="278">
        <v>0.108</v>
      </c>
      <c r="E129" s="278">
        <v>0.1</v>
      </c>
      <c r="F129" s="278">
        <v>0.13</v>
      </c>
      <c r="G129" s="279">
        <v>0.117</v>
      </c>
    </row>
    <row r="130" spans="1:7">
      <c r="A130" s="288" t="s">
        <v>273</v>
      </c>
      <c r="B130" s="277" t="s">
        <v>2292</v>
      </c>
      <c r="C130" s="278">
        <v>0.13</v>
      </c>
      <c r="D130" s="278">
        <v>0.13</v>
      </c>
      <c r="E130" s="278">
        <v>0.126</v>
      </c>
      <c r="F130" s="278">
        <v>0.13</v>
      </c>
      <c r="G130" s="279">
        <v>0.13</v>
      </c>
    </row>
    <row r="131" spans="1:7">
      <c r="A131" s="288" t="s">
        <v>273</v>
      </c>
      <c r="B131" s="277" t="s">
        <v>2304</v>
      </c>
      <c r="C131" s="278">
        <v>0.13</v>
      </c>
      <c r="D131" s="278">
        <v>0.13</v>
      </c>
      <c r="E131" s="278">
        <v>0.13</v>
      </c>
      <c r="F131" s="278">
        <v>0.13</v>
      </c>
      <c r="G131" s="279">
        <v>0.13</v>
      </c>
    </row>
    <row r="132" spans="1:7">
      <c r="A132" s="288" t="s">
        <v>273</v>
      </c>
      <c r="B132" s="277" t="s">
        <v>2315</v>
      </c>
      <c r="C132" s="278">
        <v>0.13</v>
      </c>
      <c r="D132" s="278">
        <v>0.13</v>
      </c>
      <c r="E132" s="278">
        <v>0.126</v>
      </c>
      <c r="F132" s="278">
        <v>0.13</v>
      </c>
      <c r="G132" s="279">
        <v>0.13</v>
      </c>
    </row>
    <row r="133" spans="1:7">
      <c r="A133" s="288" t="s">
        <v>273</v>
      </c>
      <c r="B133" s="277" t="s">
        <v>2326</v>
      </c>
      <c r="C133" s="278">
        <v>0.111</v>
      </c>
      <c r="D133" s="278">
        <v>0.111</v>
      </c>
      <c r="E133" s="278">
        <v>0.102</v>
      </c>
      <c r="F133" s="278">
        <v>0.13</v>
      </c>
      <c r="G133" s="279">
        <v>0.121</v>
      </c>
    </row>
    <row r="134" spans="1:7">
      <c r="A134" s="288" t="s">
        <v>273</v>
      </c>
      <c r="B134" s="277" t="s">
        <v>2337</v>
      </c>
      <c r="C134" s="278">
        <v>0.121</v>
      </c>
      <c r="D134" s="278">
        <v>0.121</v>
      </c>
      <c r="E134" s="278">
        <v>0.1</v>
      </c>
      <c r="F134" s="278">
        <v>0.13</v>
      </c>
      <c r="G134" s="279">
        <v>0.123</v>
      </c>
    </row>
    <row r="135" spans="1:7">
      <c r="A135" s="288" t="s">
        <v>273</v>
      </c>
      <c r="B135" s="277" t="s">
        <v>2347</v>
      </c>
      <c r="C135" s="278">
        <v>0.105</v>
      </c>
      <c r="D135" s="278">
        <v>0.106</v>
      </c>
      <c r="E135" s="278">
        <v>0.1</v>
      </c>
      <c r="F135" s="278">
        <v>0.13</v>
      </c>
      <c r="G135" s="279">
        <v>0.115</v>
      </c>
    </row>
    <row r="136" spans="1:7">
      <c r="A136" s="288" t="s">
        <v>273</v>
      </c>
      <c r="B136" s="277" t="s">
        <v>2357</v>
      </c>
      <c r="C136" s="278">
        <v>0.127</v>
      </c>
      <c r="D136" s="278">
        <v>0.127</v>
      </c>
      <c r="E136" s="278">
        <v>0.121</v>
      </c>
      <c r="F136" s="278">
        <v>0.123</v>
      </c>
      <c r="G136" s="279">
        <v>0.129</v>
      </c>
    </row>
    <row r="137" spans="1:7">
      <c r="A137" s="288" t="s">
        <v>273</v>
      </c>
      <c r="B137" s="277" t="s">
        <v>2367</v>
      </c>
      <c r="C137" s="278">
        <v>0.13</v>
      </c>
      <c r="D137" s="278">
        <v>0.13</v>
      </c>
      <c r="E137" s="278">
        <v>0.129</v>
      </c>
      <c r="F137" s="278">
        <v>0.13</v>
      </c>
      <c r="G137" s="279">
        <v>0.13</v>
      </c>
    </row>
    <row r="138" spans="1:7">
      <c r="A138" s="288" t="s">
        <v>273</v>
      </c>
      <c r="B138" s="277" t="s">
        <v>2377</v>
      </c>
      <c r="C138" s="278">
        <v>0.13</v>
      </c>
      <c r="D138" s="278">
        <v>0.13</v>
      </c>
      <c r="E138" s="278">
        <v>0.125</v>
      </c>
      <c r="F138" s="278">
        <v>0.13</v>
      </c>
      <c r="G138" s="279">
        <v>0.13</v>
      </c>
    </row>
    <row r="139" spans="1:7">
      <c r="A139" s="288" t="s">
        <v>273</v>
      </c>
      <c r="B139" s="277" t="s">
        <v>2387</v>
      </c>
      <c r="C139" s="278">
        <v>0.13</v>
      </c>
      <c r="D139" s="278">
        <v>0.13</v>
      </c>
      <c r="E139" s="278">
        <v>0.126</v>
      </c>
      <c r="F139" s="278">
        <v>0.13</v>
      </c>
      <c r="G139" s="279">
        <v>0.13</v>
      </c>
    </row>
    <row r="140" spans="1:7">
      <c r="A140" s="288" t="s">
        <v>273</v>
      </c>
      <c r="B140" s="277" t="s">
        <v>2397</v>
      </c>
      <c r="C140" s="278">
        <v>0.1</v>
      </c>
      <c r="D140" s="278">
        <v>0.1</v>
      </c>
      <c r="E140" s="278">
        <v>0.1</v>
      </c>
      <c r="F140" s="278">
        <v>0.123</v>
      </c>
      <c r="G140" s="279">
        <v>0.107</v>
      </c>
    </row>
    <row r="141" spans="1:7">
      <c r="A141" s="288" t="s">
        <v>273</v>
      </c>
      <c r="B141" s="277" t="s">
        <v>2407</v>
      </c>
      <c r="C141" s="278">
        <v>0.127</v>
      </c>
      <c r="D141" s="278">
        <v>0.127</v>
      </c>
      <c r="E141" s="278">
        <v>0.122</v>
      </c>
      <c r="F141" s="278">
        <v>0.1</v>
      </c>
      <c r="G141" s="279">
        <v>0.129</v>
      </c>
    </row>
    <row r="142" spans="1:7">
      <c r="A142" s="288" t="s">
        <v>273</v>
      </c>
      <c r="B142" s="277" t="s">
        <v>2417</v>
      </c>
      <c r="C142" s="278">
        <v>0.121</v>
      </c>
      <c r="D142" s="278">
        <v>0.122</v>
      </c>
      <c r="E142" s="278">
        <v>0.1</v>
      </c>
      <c r="F142" s="278">
        <v>0.123</v>
      </c>
      <c r="G142" s="279">
        <v>0.123</v>
      </c>
    </row>
    <row r="143" spans="1:7">
      <c r="A143" s="288" t="s">
        <v>273</v>
      </c>
      <c r="B143" s="277" t="s">
        <v>2427</v>
      </c>
      <c r="C143" s="278">
        <v>0.1</v>
      </c>
      <c r="D143" s="278">
        <v>0.1</v>
      </c>
      <c r="E143" s="278">
        <v>0.1</v>
      </c>
      <c r="F143" s="278">
        <v>0.13</v>
      </c>
      <c r="G143" s="279">
        <v>0.1</v>
      </c>
    </row>
    <row r="144" spans="1:7">
      <c r="A144" s="288" t="s">
        <v>273</v>
      </c>
      <c r="B144" s="277" t="s">
        <v>2437</v>
      </c>
      <c r="C144" s="278">
        <v>0.106</v>
      </c>
      <c r="D144" s="278">
        <v>0.105</v>
      </c>
      <c r="E144" s="278">
        <v>0.1</v>
      </c>
      <c r="F144" s="278">
        <v>0.13</v>
      </c>
      <c r="G144" s="279">
        <v>0.118</v>
      </c>
    </row>
    <row r="145" spans="1:7">
      <c r="A145" s="288" t="s">
        <v>273</v>
      </c>
      <c r="B145" s="277" t="s">
        <v>2447</v>
      </c>
      <c r="C145" s="278">
        <v>0.123</v>
      </c>
      <c r="D145" s="278">
        <v>0.123</v>
      </c>
      <c r="E145" s="278">
        <v>0.117</v>
      </c>
      <c r="F145" s="278">
        <v>0.13</v>
      </c>
      <c r="G145" s="279">
        <v>0.126</v>
      </c>
    </row>
    <row r="146" spans="1:7">
      <c r="A146" s="288" t="s">
        <v>273</v>
      </c>
      <c r="B146" s="277" t="s">
        <v>2457</v>
      </c>
      <c r="C146" s="278">
        <v>0.127</v>
      </c>
      <c r="D146" s="278">
        <v>0.127</v>
      </c>
      <c r="E146" s="278">
        <v>0.12</v>
      </c>
      <c r="F146" s="289"/>
      <c r="G146" s="279">
        <v>0.129</v>
      </c>
    </row>
    <row r="147" spans="1:7">
      <c r="A147" s="288" t="s">
        <v>273</v>
      </c>
      <c r="B147" s="277" t="s">
        <v>2466</v>
      </c>
      <c r="C147" s="278">
        <v>0.13</v>
      </c>
      <c r="D147" s="278">
        <v>0.13</v>
      </c>
      <c r="E147" s="278">
        <v>0.126</v>
      </c>
      <c r="F147" s="289"/>
      <c r="G147" s="279">
        <v>0.13</v>
      </c>
    </row>
    <row r="148" spans="1:7">
      <c r="A148" s="288" t="s">
        <v>273</v>
      </c>
      <c r="B148" s="277" t="s">
        <v>2474</v>
      </c>
      <c r="C148" s="278">
        <v>0.13</v>
      </c>
      <c r="D148" s="278">
        <v>0.13</v>
      </c>
      <c r="E148" s="278">
        <v>0.13</v>
      </c>
      <c r="F148" s="289"/>
      <c r="G148" s="279">
        <v>0.13</v>
      </c>
    </row>
    <row r="149" spans="1:7">
      <c r="A149" s="288" t="s">
        <v>273</v>
      </c>
      <c r="B149" s="277" t="s">
        <v>2482</v>
      </c>
      <c r="C149" s="278">
        <v>0.13</v>
      </c>
      <c r="D149" s="278">
        <v>0.13</v>
      </c>
      <c r="E149" s="278">
        <v>0.13</v>
      </c>
      <c r="F149" s="278">
        <v>0.13</v>
      </c>
      <c r="G149" s="279">
        <v>0.13</v>
      </c>
    </row>
    <row r="150" spans="1:7">
      <c r="A150" s="288" t="s">
        <v>273</v>
      </c>
      <c r="B150" s="277" t="s">
        <v>2490</v>
      </c>
      <c r="C150" s="278">
        <v>0.13</v>
      </c>
      <c r="D150" s="278">
        <v>0.13</v>
      </c>
      <c r="E150" s="278">
        <v>0.127</v>
      </c>
      <c r="F150" s="278">
        <v>0.13</v>
      </c>
      <c r="G150" s="279">
        <v>0.13</v>
      </c>
    </row>
    <row r="151" spans="1:7">
      <c r="A151" s="288" t="s">
        <v>273</v>
      </c>
      <c r="B151" s="277" t="s">
        <v>2498</v>
      </c>
      <c r="C151" s="278">
        <v>0.13</v>
      </c>
      <c r="D151" s="278">
        <v>0.13</v>
      </c>
      <c r="E151" s="278">
        <v>0.13</v>
      </c>
      <c r="F151" s="278">
        <v>0.13</v>
      </c>
      <c r="G151" s="279">
        <v>0.13</v>
      </c>
    </row>
    <row r="152" spans="1:7">
      <c r="A152" s="288" t="s">
        <v>273</v>
      </c>
      <c r="B152" s="277" t="s">
        <v>2505</v>
      </c>
      <c r="C152" s="278">
        <v>0.13</v>
      </c>
      <c r="D152" s="278">
        <v>0.13</v>
      </c>
      <c r="E152" s="278">
        <v>0.13</v>
      </c>
      <c r="F152" s="278">
        <v>0.13</v>
      </c>
      <c r="G152" s="279">
        <v>0.13</v>
      </c>
    </row>
    <row r="153" spans="1:7">
      <c r="A153" s="288" t="s">
        <v>273</v>
      </c>
      <c r="B153" s="277" t="s">
        <v>2511</v>
      </c>
      <c r="C153" s="278">
        <v>0.13</v>
      </c>
      <c r="D153" s="278">
        <v>0.13</v>
      </c>
      <c r="E153" s="278">
        <v>0.13</v>
      </c>
      <c r="F153" s="278">
        <v>0.13</v>
      </c>
      <c r="G153" s="279">
        <v>0.13</v>
      </c>
    </row>
    <row r="154" spans="1:7">
      <c r="A154" s="288" t="s">
        <v>273</v>
      </c>
      <c r="B154" s="277" t="s">
        <v>2518</v>
      </c>
      <c r="C154" s="278">
        <v>0.121</v>
      </c>
      <c r="D154" s="278">
        <v>0.121</v>
      </c>
      <c r="E154" s="278">
        <v>0.105</v>
      </c>
      <c r="F154" s="278">
        <v>0.121</v>
      </c>
      <c r="G154" s="279">
        <v>0.123</v>
      </c>
    </row>
    <row r="155" spans="1:7">
      <c r="A155" s="288" t="s">
        <v>273</v>
      </c>
      <c r="B155" s="277" t="s">
        <v>2525</v>
      </c>
      <c r="C155" s="278">
        <v>0.1</v>
      </c>
      <c r="D155" s="278">
        <v>0.1</v>
      </c>
      <c r="E155" s="278">
        <v>0.1</v>
      </c>
      <c r="F155" s="278">
        <v>0.1</v>
      </c>
      <c r="G155" s="279">
        <v>0.1</v>
      </c>
    </row>
    <row r="156" spans="1:7">
      <c r="A156" s="288" t="s">
        <v>273</v>
      </c>
      <c r="B156" s="277" t="s">
        <v>2532</v>
      </c>
      <c r="C156" s="278">
        <v>0.13</v>
      </c>
      <c r="D156" s="278">
        <v>0.13</v>
      </c>
      <c r="E156" s="278">
        <v>0.13</v>
      </c>
      <c r="F156" s="278">
        <v>0.13</v>
      </c>
      <c r="G156" s="279">
        <v>0.13</v>
      </c>
    </row>
    <row r="157" spans="1:7">
      <c r="A157" s="288" t="s">
        <v>273</v>
      </c>
      <c r="B157" s="277" t="s">
        <v>2539</v>
      </c>
      <c r="C157" s="278">
        <v>0.13</v>
      </c>
      <c r="D157" s="278">
        <v>0.13</v>
      </c>
      <c r="E157" s="278">
        <v>0.125</v>
      </c>
      <c r="F157" s="278">
        <v>0.13</v>
      </c>
      <c r="G157" s="279">
        <v>0.13</v>
      </c>
    </row>
    <row r="158" spans="1:7">
      <c r="A158" s="288" t="s">
        <v>273</v>
      </c>
      <c r="B158" s="277" t="s">
        <v>2546</v>
      </c>
      <c r="C158" s="278">
        <v>0.124</v>
      </c>
      <c r="D158" s="278">
        <v>0.124</v>
      </c>
      <c r="E158" s="278">
        <v>0.117</v>
      </c>
      <c r="F158" s="278">
        <v>0.121</v>
      </c>
      <c r="G158" s="279">
        <v>0.124</v>
      </c>
    </row>
    <row r="159" spans="1:7">
      <c r="A159" s="288" t="s">
        <v>273</v>
      </c>
      <c r="B159" s="277" t="s">
        <v>2551</v>
      </c>
      <c r="C159" s="278">
        <v>0.127</v>
      </c>
      <c r="D159" s="278">
        <v>0.127</v>
      </c>
      <c r="E159" s="278">
        <v>0.122</v>
      </c>
      <c r="F159" s="278">
        <v>0.13</v>
      </c>
      <c r="G159" s="279">
        <v>0.129</v>
      </c>
    </row>
    <row r="160" spans="1:7">
      <c r="A160" s="288" t="s">
        <v>273</v>
      </c>
      <c r="B160" s="277" t="s">
        <v>2556</v>
      </c>
      <c r="C160" s="278">
        <v>0.13</v>
      </c>
      <c r="D160" s="278">
        <v>0.13</v>
      </c>
      <c r="E160" s="278">
        <v>0.124</v>
      </c>
      <c r="F160" s="278">
        <v>0.126</v>
      </c>
      <c r="G160" s="279">
        <v>0.13</v>
      </c>
    </row>
    <row r="161" spans="1:7">
      <c r="A161" s="288" t="s">
        <v>273</v>
      </c>
      <c r="B161" s="277" t="s">
        <v>2561</v>
      </c>
      <c r="C161" s="278">
        <v>0.13</v>
      </c>
      <c r="D161" s="278">
        <v>0.13</v>
      </c>
      <c r="E161" s="278">
        <v>0.124</v>
      </c>
      <c r="F161" s="278">
        <v>0.127</v>
      </c>
      <c r="G161" s="279">
        <v>0.13</v>
      </c>
    </row>
    <row r="162" spans="1:7">
      <c r="A162" s="288" t="s">
        <v>273</v>
      </c>
      <c r="B162" s="277" t="s">
        <v>2566</v>
      </c>
      <c r="C162" s="278">
        <v>0.1</v>
      </c>
      <c r="D162" s="278">
        <v>0.1</v>
      </c>
      <c r="E162" s="278">
        <v>0.1</v>
      </c>
      <c r="F162" s="278">
        <v>0.121</v>
      </c>
      <c r="G162" s="279">
        <v>0.105</v>
      </c>
    </row>
    <row r="163" spans="1:7">
      <c r="A163" s="288" t="s">
        <v>273</v>
      </c>
      <c r="B163" s="277" t="s">
        <v>2571</v>
      </c>
      <c r="C163" s="278">
        <v>0.1</v>
      </c>
      <c r="D163" s="278">
        <v>0.1</v>
      </c>
      <c r="E163" s="278">
        <v>0.1</v>
      </c>
      <c r="F163" s="278">
        <v>0.1</v>
      </c>
      <c r="G163" s="279">
        <v>0.1</v>
      </c>
    </row>
    <row r="164" spans="1:7">
      <c r="A164" s="288" t="s">
        <v>273</v>
      </c>
      <c r="B164" s="277" t="s">
        <v>2576</v>
      </c>
      <c r="C164" s="294"/>
      <c r="D164" s="294"/>
      <c r="E164" s="294"/>
      <c r="F164" s="278">
        <v>0.1</v>
      </c>
      <c r="G164" s="290"/>
    </row>
    <row r="165" spans="1:7">
      <c r="A165" s="288" t="s">
        <v>273</v>
      </c>
      <c r="B165" s="277" t="s">
        <v>2581</v>
      </c>
      <c r="C165" s="278">
        <v>0.126</v>
      </c>
      <c r="D165" s="278">
        <v>0.126</v>
      </c>
      <c r="E165" s="278">
        <v>0.119</v>
      </c>
      <c r="F165" s="278">
        <v>0.13</v>
      </c>
      <c r="G165" s="279">
        <v>0.128</v>
      </c>
    </row>
    <row r="166" spans="1:7">
      <c r="A166" s="288" t="s">
        <v>273</v>
      </c>
      <c r="B166" s="277" t="s">
        <v>2586</v>
      </c>
      <c r="C166" s="278">
        <v>0.129</v>
      </c>
      <c r="D166" s="278">
        <v>0.129</v>
      </c>
      <c r="E166" s="278">
        <v>0.123</v>
      </c>
      <c r="F166" s="278">
        <v>0.128</v>
      </c>
      <c r="G166" s="279">
        <v>0.13</v>
      </c>
    </row>
    <row r="167" spans="1:7">
      <c r="A167" s="288" t="s">
        <v>273</v>
      </c>
      <c r="B167" s="277" t="s">
        <v>2590</v>
      </c>
      <c r="C167" s="278">
        <v>0.125</v>
      </c>
      <c r="D167" s="278">
        <v>0.125</v>
      </c>
      <c r="E167" s="278">
        <v>0.117</v>
      </c>
      <c r="F167" s="278">
        <v>0.13</v>
      </c>
      <c r="G167" s="279">
        <v>0.126</v>
      </c>
    </row>
    <row r="168" spans="1:7">
      <c r="A168" s="288" t="s">
        <v>273</v>
      </c>
      <c r="B168" s="277" t="s">
        <v>2594</v>
      </c>
      <c r="C168" s="278">
        <v>0.128</v>
      </c>
      <c r="D168" s="278">
        <v>0.128</v>
      </c>
      <c r="E168" s="278">
        <v>0.123</v>
      </c>
      <c r="F168" s="289"/>
      <c r="G168" s="279">
        <v>0.13</v>
      </c>
    </row>
    <row r="169" spans="1:7">
      <c r="A169" s="288" t="s">
        <v>273</v>
      </c>
      <c r="B169" s="277" t="s">
        <v>2598</v>
      </c>
      <c r="C169" s="294"/>
      <c r="D169" s="294"/>
      <c r="E169" s="294"/>
      <c r="F169" s="278">
        <v>0.05</v>
      </c>
      <c r="G169" s="290"/>
    </row>
    <row r="170" spans="1:7">
      <c r="A170" s="288" t="s">
        <v>273</v>
      </c>
      <c r="B170" s="277" t="s">
        <v>2602</v>
      </c>
      <c r="C170" s="294"/>
      <c r="D170" s="294"/>
      <c r="E170" s="294"/>
      <c r="F170" s="278">
        <v>0.05</v>
      </c>
      <c r="G170" s="290"/>
    </row>
    <row r="171" spans="1:7">
      <c r="A171" s="288" t="s">
        <v>273</v>
      </c>
      <c r="B171" s="277" t="s">
        <v>2605</v>
      </c>
      <c r="C171" s="294"/>
      <c r="D171" s="294"/>
      <c r="E171" s="294"/>
      <c r="F171" s="278">
        <v>0.05</v>
      </c>
      <c r="G171" s="295"/>
    </row>
    <row r="172" spans="1:7">
      <c r="A172" s="288" t="s">
        <v>273</v>
      </c>
      <c r="B172" s="277" t="s">
        <v>2607</v>
      </c>
      <c r="C172" s="294"/>
      <c r="D172" s="294"/>
      <c r="E172" s="294"/>
      <c r="F172" s="278">
        <v>0.05</v>
      </c>
      <c r="G172" s="295"/>
    </row>
    <row r="173" spans="1:7">
      <c r="A173" s="288" t="s">
        <v>273</v>
      </c>
      <c r="B173" s="277" t="s">
        <v>2609</v>
      </c>
      <c r="C173" s="294"/>
      <c r="D173" s="294"/>
      <c r="E173" s="294"/>
      <c r="F173" s="278">
        <v>0.05</v>
      </c>
      <c r="G173" s="290"/>
    </row>
    <row r="174" spans="1:7">
      <c r="A174" s="288" t="s">
        <v>273</v>
      </c>
      <c r="B174" s="277" t="s">
        <v>2611</v>
      </c>
      <c r="C174" s="294"/>
      <c r="D174" s="294"/>
      <c r="E174" s="294"/>
      <c r="F174" s="278">
        <v>0.05</v>
      </c>
      <c r="G174" s="290"/>
    </row>
    <row r="175" spans="1:7">
      <c r="A175" s="288" t="s">
        <v>273</v>
      </c>
      <c r="B175" s="277" t="s">
        <v>2613</v>
      </c>
      <c r="C175" s="294"/>
      <c r="D175" s="294"/>
      <c r="E175" s="294"/>
      <c r="F175" s="278">
        <v>0.05</v>
      </c>
      <c r="G175" s="290"/>
    </row>
    <row r="176" spans="1:7">
      <c r="A176" s="288" t="s">
        <v>273</v>
      </c>
      <c r="B176" s="277" t="s">
        <v>2615</v>
      </c>
      <c r="C176" s="294"/>
      <c r="D176" s="294"/>
      <c r="E176" s="294"/>
      <c r="F176" s="278">
        <v>0.05</v>
      </c>
      <c r="G176" s="290"/>
    </row>
    <row r="177" spans="1:7">
      <c r="A177" s="288" t="s">
        <v>273</v>
      </c>
      <c r="B177" s="277" t="s">
        <v>2617</v>
      </c>
      <c r="C177" s="289"/>
      <c r="D177" s="289"/>
      <c r="E177" s="289"/>
      <c r="F177" s="278">
        <v>0.05</v>
      </c>
      <c r="G177" s="295"/>
    </row>
    <row r="178" spans="1:7">
      <c r="A178" s="288" t="s">
        <v>273</v>
      </c>
      <c r="B178" s="277" t="s">
        <v>2618</v>
      </c>
      <c r="C178" s="289"/>
      <c r="D178" s="289"/>
      <c r="E178" s="289"/>
      <c r="F178" s="278">
        <v>0.05</v>
      </c>
      <c r="G178" s="295"/>
    </row>
    <row r="179" spans="1:7">
      <c r="A179" s="288" t="s">
        <v>273</v>
      </c>
      <c r="B179" s="277" t="s">
        <v>2619</v>
      </c>
      <c r="C179" s="289"/>
      <c r="D179" s="289"/>
      <c r="E179" s="289"/>
      <c r="F179" s="278">
        <v>0.05</v>
      </c>
      <c r="G179" s="295"/>
    </row>
    <row r="180" spans="1:7">
      <c r="A180" s="288" t="s">
        <v>273</v>
      </c>
      <c r="B180" s="277" t="s">
        <v>2620</v>
      </c>
      <c r="C180" s="289"/>
      <c r="D180" s="289"/>
      <c r="E180" s="289"/>
      <c r="F180" s="278">
        <v>0.05</v>
      </c>
      <c r="G180" s="295"/>
    </row>
    <row r="181" spans="1:7">
      <c r="A181" s="288" t="s">
        <v>273</v>
      </c>
      <c r="B181" s="277" t="s">
        <v>2621</v>
      </c>
      <c r="C181" s="289"/>
      <c r="D181" s="289"/>
      <c r="E181" s="289"/>
      <c r="F181" s="278">
        <v>0.05</v>
      </c>
      <c r="G181" s="295"/>
    </row>
    <row r="182" spans="1:7">
      <c r="A182" s="288" t="s">
        <v>273</v>
      </c>
      <c r="B182" s="277" t="s">
        <v>2622</v>
      </c>
      <c r="C182" s="289"/>
      <c r="D182" s="289"/>
      <c r="E182" s="289"/>
      <c r="F182" s="278">
        <v>0.05</v>
      </c>
      <c r="G182" s="295"/>
    </row>
    <row r="183" spans="1:7">
      <c r="A183" s="288" t="s">
        <v>273</v>
      </c>
      <c r="B183" s="277" t="s">
        <v>2623</v>
      </c>
      <c r="C183" s="289"/>
      <c r="D183" s="289"/>
      <c r="E183" s="289"/>
      <c r="F183" s="278">
        <v>0.05</v>
      </c>
      <c r="G183" s="295"/>
    </row>
    <row r="184" spans="1:7">
      <c r="A184" s="288" t="s">
        <v>273</v>
      </c>
      <c r="B184" s="277" t="s">
        <v>2624</v>
      </c>
      <c r="C184" s="289"/>
      <c r="D184" s="289"/>
      <c r="E184" s="289"/>
      <c r="F184" s="278">
        <v>0.05</v>
      </c>
      <c r="G184" s="295"/>
    </row>
    <row r="185" spans="1:7">
      <c r="A185" s="288" t="s">
        <v>273</v>
      </c>
      <c r="B185" s="277" t="s">
        <v>2625</v>
      </c>
      <c r="C185" s="289"/>
      <c r="D185" s="289"/>
      <c r="E185" s="289"/>
      <c r="F185" s="278">
        <v>0.05</v>
      </c>
      <c r="G185" s="295"/>
    </row>
    <row r="186" spans="1:7">
      <c r="A186" s="288" t="s">
        <v>273</v>
      </c>
      <c r="B186" s="277" t="s">
        <v>2626</v>
      </c>
      <c r="C186" s="289"/>
      <c r="D186" s="289"/>
      <c r="E186" s="289"/>
      <c r="F186" s="278">
        <v>0.05</v>
      </c>
      <c r="G186" s="295"/>
    </row>
    <row r="187" spans="1:7">
      <c r="A187" s="288" t="s">
        <v>273</v>
      </c>
      <c r="B187" s="277" t="s">
        <v>2627</v>
      </c>
      <c r="C187" s="289"/>
      <c r="D187" s="289"/>
      <c r="E187" s="289"/>
      <c r="F187" s="278">
        <v>0.05</v>
      </c>
      <c r="G187" s="295"/>
    </row>
    <row r="188" spans="1:7">
      <c r="A188" s="288" t="s">
        <v>273</v>
      </c>
      <c r="B188" s="277" t="s">
        <v>2628</v>
      </c>
      <c r="C188" s="289"/>
      <c r="D188" s="289"/>
      <c r="E188" s="289"/>
      <c r="F188" s="278">
        <v>0.05</v>
      </c>
      <c r="G188" s="295"/>
    </row>
    <row r="189" ht="14.75" spans="1:7">
      <c r="A189" s="291" t="s">
        <v>273</v>
      </c>
      <c r="B189" s="281" t="s">
        <v>2629</v>
      </c>
      <c r="C189" s="283"/>
      <c r="D189" s="283"/>
      <c r="E189" s="283"/>
      <c r="F189" s="282">
        <v>0.05</v>
      </c>
      <c r="G189" s="296"/>
    </row>
    <row r="190" spans="1:7">
      <c r="A190" s="287" t="s">
        <v>278</v>
      </c>
      <c r="B190" s="273" t="s">
        <v>2254</v>
      </c>
      <c r="C190" s="274">
        <v>0.124</v>
      </c>
      <c r="D190" s="274">
        <v>0.124</v>
      </c>
      <c r="E190" s="274">
        <v>0.129</v>
      </c>
      <c r="F190" s="274">
        <v>0.13</v>
      </c>
      <c r="G190" s="275">
        <v>0.127</v>
      </c>
    </row>
    <row r="191" spans="1:7">
      <c r="A191" s="288" t="s">
        <v>278</v>
      </c>
      <c r="B191" s="277" t="s">
        <v>2267</v>
      </c>
      <c r="C191" s="278">
        <v>0.13</v>
      </c>
      <c r="D191" s="278">
        <v>0.13</v>
      </c>
      <c r="E191" s="278">
        <v>0.13</v>
      </c>
      <c r="F191" s="278">
        <v>0.13</v>
      </c>
      <c r="G191" s="279">
        <v>0.13</v>
      </c>
    </row>
    <row r="192" spans="1:7">
      <c r="A192" s="288" t="s">
        <v>278</v>
      </c>
      <c r="B192" s="277" t="s">
        <v>2281</v>
      </c>
      <c r="C192" s="278">
        <v>0.13</v>
      </c>
      <c r="D192" s="278">
        <v>0.13</v>
      </c>
      <c r="E192" s="278">
        <v>0.13</v>
      </c>
      <c r="F192" s="278">
        <v>0.13</v>
      </c>
      <c r="G192" s="279">
        <v>0.13</v>
      </c>
    </row>
    <row r="193" spans="1:7">
      <c r="A193" s="288" t="s">
        <v>278</v>
      </c>
      <c r="B193" s="277" t="s">
        <v>2293</v>
      </c>
      <c r="C193" s="278">
        <v>0.13</v>
      </c>
      <c r="D193" s="278">
        <v>0.13</v>
      </c>
      <c r="E193" s="278">
        <v>0.13</v>
      </c>
      <c r="F193" s="278">
        <v>0.13</v>
      </c>
      <c r="G193" s="279">
        <v>0.13</v>
      </c>
    </row>
    <row r="194" spans="1:7">
      <c r="A194" s="288" t="s">
        <v>278</v>
      </c>
      <c r="B194" s="277" t="s">
        <v>2305</v>
      </c>
      <c r="C194" s="278">
        <v>0.123</v>
      </c>
      <c r="D194" s="278">
        <v>0.123</v>
      </c>
      <c r="E194" s="278">
        <v>0.128</v>
      </c>
      <c r="F194" s="278">
        <v>0.13</v>
      </c>
      <c r="G194" s="279">
        <v>0.126</v>
      </c>
    </row>
    <row r="195" spans="1:7">
      <c r="A195" s="288" t="s">
        <v>278</v>
      </c>
      <c r="B195" s="277" t="s">
        <v>2316</v>
      </c>
      <c r="C195" s="278">
        <v>0.127</v>
      </c>
      <c r="D195" s="278">
        <v>0.127</v>
      </c>
      <c r="E195" s="278">
        <v>0.121</v>
      </c>
      <c r="F195" s="278">
        <v>0.129</v>
      </c>
      <c r="G195" s="279">
        <v>0.129</v>
      </c>
    </row>
    <row r="196" spans="1:7">
      <c r="A196" s="288" t="s">
        <v>278</v>
      </c>
      <c r="B196" s="277" t="s">
        <v>2327</v>
      </c>
      <c r="C196" s="278">
        <v>0.127</v>
      </c>
      <c r="D196" s="278">
        <v>0.128</v>
      </c>
      <c r="E196" s="278">
        <v>0.122</v>
      </c>
      <c r="F196" s="278">
        <v>0.13</v>
      </c>
      <c r="G196" s="279">
        <v>0.129</v>
      </c>
    </row>
    <row r="197" spans="1:7">
      <c r="A197" s="288" t="s">
        <v>278</v>
      </c>
      <c r="B197" s="277" t="s">
        <v>2338</v>
      </c>
      <c r="C197" s="278">
        <v>0.126</v>
      </c>
      <c r="D197" s="278">
        <v>0.126</v>
      </c>
      <c r="E197" s="278">
        <v>0.119</v>
      </c>
      <c r="F197" s="278">
        <v>0.13</v>
      </c>
      <c r="G197" s="279">
        <v>0.128</v>
      </c>
    </row>
    <row r="198" spans="1:7">
      <c r="A198" s="288" t="s">
        <v>278</v>
      </c>
      <c r="B198" s="277" t="s">
        <v>2348</v>
      </c>
      <c r="C198" s="278">
        <v>0.13</v>
      </c>
      <c r="D198" s="278">
        <v>0.13</v>
      </c>
      <c r="E198" s="278">
        <v>0.126</v>
      </c>
      <c r="F198" s="294"/>
      <c r="G198" s="279">
        <v>0.13</v>
      </c>
    </row>
    <row r="199" spans="1:7">
      <c r="A199" s="288" t="s">
        <v>278</v>
      </c>
      <c r="B199" s="277" t="s">
        <v>2358</v>
      </c>
      <c r="C199" s="278">
        <v>0.13</v>
      </c>
      <c r="D199" s="278">
        <v>0.13</v>
      </c>
      <c r="E199" s="278">
        <v>0.13</v>
      </c>
      <c r="F199" s="278">
        <v>0.13</v>
      </c>
      <c r="G199" s="279">
        <v>0.13</v>
      </c>
    </row>
    <row r="200" spans="1:7">
      <c r="A200" s="288" t="s">
        <v>278</v>
      </c>
      <c r="B200" s="277" t="s">
        <v>2368</v>
      </c>
      <c r="C200" s="294"/>
      <c r="D200" s="294"/>
      <c r="E200" s="294"/>
      <c r="F200" s="278">
        <v>0.13</v>
      </c>
      <c r="G200" s="290"/>
    </row>
    <row r="201" spans="1:7">
      <c r="A201" s="288" t="s">
        <v>278</v>
      </c>
      <c r="B201" s="277" t="s">
        <v>2378</v>
      </c>
      <c r="C201" s="278">
        <v>0.13</v>
      </c>
      <c r="D201" s="278">
        <v>0.13</v>
      </c>
      <c r="E201" s="278">
        <v>0.13</v>
      </c>
      <c r="F201" s="278">
        <v>0.129</v>
      </c>
      <c r="G201" s="279">
        <v>0.13</v>
      </c>
    </row>
    <row r="202" spans="1:7">
      <c r="A202" s="288" t="s">
        <v>278</v>
      </c>
      <c r="B202" s="277" t="s">
        <v>2388</v>
      </c>
      <c r="C202" s="278">
        <v>0.13</v>
      </c>
      <c r="D202" s="278">
        <v>0.13</v>
      </c>
      <c r="E202" s="278">
        <v>0.13</v>
      </c>
      <c r="F202" s="278">
        <v>0.13</v>
      </c>
      <c r="G202" s="279">
        <v>0.13</v>
      </c>
    </row>
    <row r="203" spans="1:7">
      <c r="A203" s="288" t="s">
        <v>278</v>
      </c>
      <c r="B203" s="277" t="s">
        <v>2398</v>
      </c>
      <c r="C203" s="278">
        <v>0.129</v>
      </c>
      <c r="D203" s="278">
        <v>0.129</v>
      </c>
      <c r="E203" s="278">
        <v>0.13</v>
      </c>
      <c r="F203" s="278">
        <v>0.13</v>
      </c>
      <c r="G203" s="279">
        <v>0.13</v>
      </c>
    </row>
    <row r="204" spans="1:7">
      <c r="A204" s="288" t="s">
        <v>278</v>
      </c>
      <c r="B204" s="277" t="s">
        <v>2408</v>
      </c>
      <c r="C204" s="278">
        <v>0.129</v>
      </c>
      <c r="D204" s="278">
        <v>0.129</v>
      </c>
      <c r="E204" s="278">
        <v>0.123</v>
      </c>
      <c r="F204" s="278">
        <v>0.13</v>
      </c>
      <c r="G204" s="279">
        <v>0.13</v>
      </c>
    </row>
    <row r="205" spans="1:7">
      <c r="A205" s="288" t="s">
        <v>278</v>
      </c>
      <c r="B205" s="277" t="s">
        <v>2418</v>
      </c>
      <c r="C205" s="278">
        <v>0.13</v>
      </c>
      <c r="D205" s="278">
        <v>0.13</v>
      </c>
      <c r="E205" s="278">
        <v>0.13</v>
      </c>
      <c r="F205" s="278">
        <v>0.13</v>
      </c>
      <c r="G205" s="279">
        <v>0.13</v>
      </c>
    </row>
    <row r="206" spans="1:7">
      <c r="A206" s="288" t="s">
        <v>278</v>
      </c>
      <c r="B206" s="277" t="s">
        <v>2428</v>
      </c>
      <c r="C206" s="278">
        <v>0.13</v>
      </c>
      <c r="D206" s="278">
        <v>0.13</v>
      </c>
      <c r="E206" s="278">
        <v>0.13</v>
      </c>
      <c r="F206" s="278">
        <v>0.128</v>
      </c>
      <c r="G206" s="279">
        <v>0.13</v>
      </c>
    </row>
    <row r="207" spans="1:7">
      <c r="A207" s="288" t="s">
        <v>278</v>
      </c>
      <c r="B207" s="277" t="s">
        <v>2438</v>
      </c>
      <c r="C207" s="278">
        <v>0.13</v>
      </c>
      <c r="D207" s="278">
        <v>0.13</v>
      </c>
      <c r="E207" s="278">
        <v>0.13</v>
      </c>
      <c r="F207" s="278">
        <v>0.13</v>
      </c>
      <c r="G207" s="279">
        <v>0.13</v>
      </c>
    </row>
    <row r="208" spans="1:7">
      <c r="A208" s="288" t="s">
        <v>278</v>
      </c>
      <c r="B208" s="277" t="s">
        <v>2448</v>
      </c>
      <c r="C208" s="278">
        <v>0.13</v>
      </c>
      <c r="D208" s="278">
        <v>0.13</v>
      </c>
      <c r="E208" s="278">
        <v>0.13</v>
      </c>
      <c r="F208" s="278">
        <v>0.13</v>
      </c>
      <c r="G208" s="279">
        <v>0.13</v>
      </c>
    </row>
    <row r="209" spans="1:7">
      <c r="A209" s="288" t="s">
        <v>278</v>
      </c>
      <c r="B209" s="277" t="s">
        <v>2458</v>
      </c>
      <c r="C209" s="278">
        <v>0.13</v>
      </c>
      <c r="D209" s="278">
        <v>0.13</v>
      </c>
      <c r="E209" s="278">
        <v>0.13</v>
      </c>
      <c r="F209" s="278">
        <v>0.13</v>
      </c>
      <c r="G209" s="279">
        <v>0.13</v>
      </c>
    </row>
    <row r="210" spans="1:7">
      <c r="A210" s="288" t="s">
        <v>278</v>
      </c>
      <c r="B210" s="277" t="s">
        <v>2467</v>
      </c>
      <c r="C210" s="278">
        <v>0.121</v>
      </c>
      <c r="D210" s="278">
        <v>0.121</v>
      </c>
      <c r="E210" s="278">
        <v>0.125</v>
      </c>
      <c r="F210" s="278">
        <v>0.13</v>
      </c>
      <c r="G210" s="279">
        <v>0.123</v>
      </c>
    </row>
    <row r="211" spans="1:7">
      <c r="A211" s="288" t="s">
        <v>278</v>
      </c>
      <c r="B211" s="277" t="s">
        <v>2475</v>
      </c>
      <c r="C211" s="278">
        <v>0.123</v>
      </c>
      <c r="D211" s="278">
        <v>0.123</v>
      </c>
      <c r="E211" s="278">
        <v>0.127</v>
      </c>
      <c r="F211" s="278">
        <v>0.115</v>
      </c>
      <c r="G211" s="279">
        <v>0.126</v>
      </c>
    </row>
    <row r="212" spans="1:7">
      <c r="A212" s="288" t="s">
        <v>278</v>
      </c>
      <c r="B212" s="277" t="s">
        <v>2483</v>
      </c>
      <c r="C212" s="278">
        <v>0.126</v>
      </c>
      <c r="D212" s="278">
        <v>0.126</v>
      </c>
      <c r="E212" s="278">
        <v>0.13</v>
      </c>
      <c r="F212" s="278">
        <v>0.13</v>
      </c>
      <c r="G212" s="279">
        <v>0.129</v>
      </c>
    </row>
    <row r="213" spans="1:7">
      <c r="A213" s="288" t="s">
        <v>278</v>
      </c>
      <c r="B213" s="277" t="s">
        <v>2491</v>
      </c>
      <c r="C213" s="278">
        <v>0.129</v>
      </c>
      <c r="D213" s="278">
        <v>0.13</v>
      </c>
      <c r="E213" s="278">
        <v>0.127</v>
      </c>
      <c r="F213" s="278">
        <v>0.13</v>
      </c>
      <c r="G213" s="279">
        <v>0.13</v>
      </c>
    </row>
    <row r="214" spans="1:7">
      <c r="A214" s="288" t="s">
        <v>278</v>
      </c>
      <c r="B214" s="277" t="s">
        <v>2499</v>
      </c>
      <c r="C214" s="278">
        <v>0.128</v>
      </c>
      <c r="D214" s="278">
        <v>0.128</v>
      </c>
      <c r="E214" s="278">
        <v>0.13</v>
      </c>
      <c r="F214" s="278">
        <v>0.13</v>
      </c>
      <c r="G214" s="279">
        <v>0.13</v>
      </c>
    </row>
    <row r="215" spans="1:7">
      <c r="A215" s="288" t="s">
        <v>278</v>
      </c>
      <c r="B215" s="277" t="s">
        <v>2506</v>
      </c>
      <c r="C215" s="278">
        <v>0.13</v>
      </c>
      <c r="D215" s="278">
        <v>0.13</v>
      </c>
      <c r="E215" s="278">
        <v>0.13</v>
      </c>
      <c r="F215" s="278">
        <v>0.129</v>
      </c>
      <c r="G215" s="279">
        <v>0.13</v>
      </c>
    </row>
    <row r="216" spans="1:7">
      <c r="A216" s="288" t="s">
        <v>278</v>
      </c>
      <c r="B216" s="277" t="s">
        <v>2512</v>
      </c>
      <c r="C216" s="278">
        <v>0.13</v>
      </c>
      <c r="D216" s="278">
        <v>0.13</v>
      </c>
      <c r="E216" s="278">
        <v>0.13</v>
      </c>
      <c r="F216" s="278">
        <v>0.13</v>
      </c>
      <c r="G216" s="279">
        <v>0.13</v>
      </c>
    </row>
    <row r="217" spans="1:7">
      <c r="A217" s="288" t="s">
        <v>278</v>
      </c>
      <c r="B217" s="277" t="s">
        <v>2519</v>
      </c>
      <c r="C217" s="278">
        <v>0.129</v>
      </c>
      <c r="D217" s="278">
        <v>0.129</v>
      </c>
      <c r="E217" s="278">
        <v>0.13</v>
      </c>
      <c r="F217" s="278">
        <v>0.13</v>
      </c>
      <c r="G217" s="279">
        <v>0.13</v>
      </c>
    </row>
    <row r="218" spans="1:7">
      <c r="A218" s="288" t="s">
        <v>278</v>
      </c>
      <c r="B218" s="277" t="s">
        <v>2526</v>
      </c>
      <c r="C218" s="289"/>
      <c r="D218" s="289"/>
      <c r="E218" s="289"/>
      <c r="F218" s="278">
        <v>0.05</v>
      </c>
      <c r="G218" s="295"/>
    </row>
    <row r="219" spans="1:7">
      <c r="A219" s="288" t="s">
        <v>278</v>
      </c>
      <c r="B219" s="277" t="s">
        <v>2533</v>
      </c>
      <c r="C219" s="289"/>
      <c r="D219" s="289"/>
      <c r="E219" s="289"/>
      <c r="F219" s="278">
        <v>0.05</v>
      </c>
      <c r="G219" s="295"/>
    </row>
    <row r="220" spans="1:7">
      <c r="A220" s="288" t="s">
        <v>278</v>
      </c>
      <c r="B220" s="277" t="s">
        <v>2540</v>
      </c>
      <c r="C220" s="289"/>
      <c r="D220" s="289"/>
      <c r="E220" s="289"/>
      <c r="F220" s="278">
        <v>0.05</v>
      </c>
      <c r="G220" s="295"/>
    </row>
    <row r="221" spans="1:7">
      <c r="A221" s="288" t="s">
        <v>278</v>
      </c>
      <c r="B221" s="277" t="s">
        <v>2547</v>
      </c>
      <c r="C221" s="289"/>
      <c r="D221" s="289"/>
      <c r="E221" s="289"/>
      <c r="F221" s="278">
        <v>0.05</v>
      </c>
      <c r="G221" s="295"/>
    </row>
    <row r="222" spans="1:7">
      <c r="A222" s="288" t="s">
        <v>278</v>
      </c>
      <c r="B222" s="277" t="s">
        <v>2552</v>
      </c>
      <c r="C222" s="289"/>
      <c r="D222" s="289"/>
      <c r="E222" s="289"/>
      <c r="F222" s="278">
        <v>0.05</v>
      </c>
      <c r="G222" s="295"/>
    </row>
    <row r="223" spans="1:7">
      <c r="A223" s="288" t="s">
        <v>278</v>
      </c>
      <c r="B223" s="277" t="s">
        <v>2557</v>
      </c>
      <c r="C223" s="289"/>
      <c r="D223" s="289"/>
      <c r="E223" s="289"/>
      <c r="F223" s="278">
        <v>0.05</v>
      </c>
      <c r="G223" s="295"/>
    </row>
    <row r="224" spans="1:7">
      <c r="A224" s="288" t="s">
        <v>278</v>
      </c>
      <c r="B224" s="277" t="s">
        <v>2562</v>
      </c>
      <c r="C224" s="289"/>
      <c r="D224" s="289"/>
      <c r="E224" s="289"/>
      <c r="F224" s="278">
        <v>0.05</v>
      </c>
      <c r="G224" s="295"/>
    </row>
    <row r="225" spans="1:7">
      <c r="A225" s="288" t="s">
        <v>278</v>
      </c>
      <c r="B225" s="277" t="s">
        <v>2567</v>
      </c>
      <c r="C225" s="289"/>
      <c r="D225" s="289"/>
      <c r="E225" s="289"/>
      <c r="F225" s="278">
        <v>0.05</v>
      </c>
      <c r="G225" s="295"/>
    </row>
    <row r="226" spans="1:7">
      <c r="A226" s="288" t="s">
        <v>278</v>
      </c>
      <c r="B226" s="277" t="s">
        <v>2572</v>
      </c>
      <c r="C226" s="289"/>
      <c r="D226" s="289"/>
      <c r="E226" s="289"/>
      <c r="F226" s="278">
        <v>0.05</v>
      </c>
      <c r="G226" s="295"/>
    </row>
    <row r="227" spans="1:7">
      <c r="A227" s="288" t="s">
        <v>278</v>
      </c>
      <c r="B227" s="277" t="s">
        <v>2631</v>
      </c>
      <c r="C227" s="289"/>
      <c r="D227" s="289"/>
      <c r="E227" s="289"/>
      <c r="F227" s="278">
        <v>0.05</v>
      </c>
      <c r="G227" s="295"/>
    </row>
    <row r="228" spans="1:7">
      <c r="A228" s="288" t="s">
        <v>278</v>
      </c>
      <c r="B228" s="277" t="s">
        <v>2632</v>
      </c>
      <c r="C228" s="289"/>
      <c r="D228" s="289"/>
      <c r="E228" s="289"/>
      <c r="F228" s="278">
        <v>0.05</v>
      </c>
      <c r="G228" s="295"/>
    </row>
    <row r="229" spans="1:7">
      <c r="A229" s="288" t="s">
        <v>278</v>
      </c>
      <c r="B229" s="277" t="s">
        <v>2633</v>
      </c>
      <c r="C229" s="289"/>
      <c r="D229" s="289"/>
      <c r="E229" s="289"/>
      <c r="F229" s="278">
        <v>0.05</v>
      </c>
      <c r="G229" s="295"/>
    </row>
    <row r="230" spans="1:7">
      <c r="A230" s="288" t="s">
        <v>278</v>
      </c>
      <c r="B230" s="277" t="s">
        <v>2591</v>
      </c>
      <c r="C230" s="289"/>
      <c r="D230" s="289"/>
      <c r="E230" s="289"/>
      <c r="F230" s="278">
        <v>0.05</v>
      </c>
      <c r="G230" s="295"/>
    </row>
    <row r="231" spans="1:7">
      <c r="A231" s="288" t="s">
        <v>278</v>
      </c>
      <c r="B231" s="277" t="s">
        <v>2595</v>
      </c>
      <c r="C231" s="289"/>
      <c r="D231" s="289"/>
      <c r="E231" s="289"/>
      <c r="F231" s="278">
        <v>0.05</v>
      </c>
      <c r="G231" s="295"/>
    </row>
    <row r="232" spans="1:7">
      <c r="A232" s="288" t="s">
        <v>278</v>
      </c>
      <c r="B232" s="277" t="s">
        <v>2634</v>
      </c>
      <c r="C232" s="289"/>
      <c r="D232" s="289"/>
      <c r="E232" s="289"/>
      <c r="F232" s="278">
        <v>0.05</v>
      </c>
      <c r="G232" s="295"/>
    </row>
    <row r="233" ht="14.75" spans="1:7">
      <c r="A233" s="291" t="s">
        <v>278</v>
      </c>
      <c r="B233" s="281" t="s">
        <v>2603</v>
      </c>
      <c r="C233" s="283"/>
      <c r="D233" s="283"/>
      <c r="E233" s="283"/>
      <c r="F233" s="282">
        <v>0.05</v>
      </c>
      <c r="G233" s="296"/>
    </row>
    <row r="234" spans="1:7">
      <c r="A234" s="287" t="s">
        <v>284</v>
      </c>
      <c r="B234" s="273" t="s">
        <v>2255</v>
      </c>
      <c r="C234" s="274">
        <v>0.13</v>
      </c>
      <c r="D234" s="274">
        <v>0.128</v>
      </c>
      <c r="E234" s="274">
        <v>0.142</v>
      </c>
      <c r="F234" s="274">
        <v>0.147</v>
      </c>
      <c r="G234" s="275">
        <v>0.14</v>
      </c>
    </row>
    <row r="235" spans="1:7">
      <c r="A235" s="288" t="s">
        <v>284</v>
      </c>
      <c r="B235" s="277" t="s">
        <v>2268</v>
      </c>
      <c r="C235" s="278">
        <v>0.136</v>
      </c>
      <c r="D235" s="278">
        <v>0.138</v>
      </c>
      <c r="E235" s="278">
        <v>0.145</v>
      </c>
      <c r="F235" s="278">
        <v>0.143</v>
      </c>
      <c r="G235" s="279">
        <v>0.141</v>
      </c>
    </row>
    <row r="236" spans="1:7">
      <c r="A236" s="288" t="s">
        <v>284</v>
      </c>
      <c r="B236" s="277" t="s">
        <v>2282</v>
      </c>
      <c r="C236" s="278">
        <v>0.15</v>
      </c>
      <c r="D236" s="278">
        <v>0.15</v>
      </c>
      <c r="E236" s="278">
        <v>0.15</v>
      </c>
      <c r="F236" s="278">
        <v>0.15</v>
      </c>
      <c r="G236" s="279">
        <v>0.15</v>
      </c>
    </row>
    <row r="237" spans="1:7">
      <c r="A237" s="288" t="s">
        <v>284</v>
      </c>
      <c r="B237" s="277" t="s">
        <v>2294</v>
      </c>
      <c r="C237" s="278">
        <v>0.15</v>
      </c>
      <c r="D237" s="278">
        <v>0.15</v>
      </c>
      <c r="E237" s="278">
        <v>0.15</v>
      </c>
      <c r="F237" s="278">
        <v>0.15</v>
      </c>
      <c r="G237" s="279">
        <v>0.15</v>
      </c>
    </row>
    <row r="238" spans="1:7">
      <c r="A238" s="288" t="s">
        <v>284</v>
      </c>
      <c r="B238" s="277" t="s">
        <v>2306</v>
      </c>
      <c r="C238" s="278">
        <v>0.149</v>
      </c>
      <c r="D238" s="278">
        <v>0.149</v>
      </c>
      <c r="E238" s="278">
        <v>0.15</v>
      </c>
      <c r="F238" s="278">
        <v>0.15</v>
      </c>
      <c r="G238" s="279">
        <v>0.15</v>
      </c>
    </row>
    <row r="239" spans="1:7">
      <c r="A239" s="288" t="s">
        <v>284</v>
      </c>
      <c r="B239" s="277" t="s">
        <v>2317</v>
      </c>
      <c r="C239" s="278">
        <v>0.15</v>
      </c>
      <c r="D239" s="278">
        <v>0.15</v>
      </c>
      <c r="E239" s="278">
        <v>0.15</v>
      </c>
      <c r="F239" s="278">
        <v>0.15</v>
      </c>
      <c r="G239" s="279">
        <v>0.15</v>
      </c>
    </row>
    <row r="240" spans="1:7">
      <c r="A240" s="288" t="s">
        <v>284</v>
      </c>
      <c r="B240" s="277" t="s">
        <v>2328</v>
      </c>
      <c r="C240" s="278">
        <v>0.15</v>
      </c>
      <c r="D240" s="278">
        <v>0.15</v>
      </c>
      <c r="E240" s="278">
        <v>0.15</v>
      </c>
      <c r="F240" s="278">
        <v>0.15</v>
      </c>
      <c r="G240" s="279">
        <v>0.15</v>
      </c>
    </row>
    <row r="241" spans="1:7">
      <c r="A241" s="288" t="s">
        <v>284</v>
      </c>
      <c r="B241" s="277" t="s">
        <v>2339</v>
      </c>
      <c r="C241" s="278">
        <v>0.141</v>
      </c>
      <c r="D241" s="278">
        <v>0.142</v>
      </c>
      <c r="E241" s="278">
        <v>0.149</v>
      </c>
      <c r="F241" s="278">
        <v>0.15</v>
      </c>
      <c r="G241" s="279">
        <v>0.144</v>
      </c>
    </row>
    <row r="242" spans="1:7">
      <c r="A242" s="288" t="s">
        <v>284</v>
      </c>
      <c r="B242" s="277" t="s">
        <v>2349</v>
      </c>
      <c r="C242" s="278">
        <v>0.141</v>
      </c>
      <c r="D242" s="278">
        <v>0.142</v>
      </c>
      <c r="E242" s="278">
        <v>0.148</v>
      </c>
      <c r="F242" s="278">
        <v>0.127</v>
      </c>
      <c r="G242" s="279">
        <v>0.144</v>
      </c>
    </row>
    <row r="243" spans="1:7">
      <c r="A243" s="288" t="s">
        <v>284</v>
      </c>
      <c r="B243" s="277" t="s">
        <v>2359</v>
      </c>
      <c r="C243" s="278">
        <v>0.147</v>
      </c>
      <c r="D243" s="278">
        <v>0.147</v>
      </c>
      <c r="E243" s="278">
        <v>0.15</v>
      </c>
      <c r="F243" s="278">
        <v>0.15</v>
      </c>
      <c r="G243" s="279">
        <v>0.149</v>
      </c>
    </row>
    <row r="244" spans="1:7">
      <c r="A244" s="288" t="s">
        <v>284</v>
      </c>
      <c r="B244" s="277" t="s">
        <v>2369</v>
      </c>
      <c r="C244" s="278">
        <v>0.15</v>
      </c>
      <c r="D244" s="278">
        <v>0.15</v>
      </c>
      <c r="E244" s="278">
        <v>0.15</v>
      </c>
      <c r="F244" s="278">
        <v>0.15</v>
      </c>
      <c r="G244" s="279">
        <v>0.15</v>
      </c>
    </row>
    <row r="245" spans="1:7">
      <c r="A245" s="288" t="s">
        <v>284</v>
      </c>
      <c r="B245" s="277" t="s">
        <v>2379</v>
      </c>
      <c r="C245" s="278">
        <v>0.142</v>
      </c>
      <c r="D245" s="278">
        <v>0.142</v>
      </c>
      <c r="E245" s="278">
        <v>0.15</v>
      </c>
      <c r="F245" s="278">
        <v>0.15</v>
      </c>
      <c r="G245" s="279">
        <v>0.145</v>
      </c>
    </row>
    <row r="246" spans="1:7">
      <c r="A246" s="288" t="s">
        <v>284</v>
      </c>
      <c r="B246" s="277" t="s">
        <v>2389</v>
      </c>
      <c r="C246" s="278">
        <v>0.142</v>
      </c>
      <c r="D246" s="278">
        <v>0.143</v>
      </c>
      <c r="E246" s="278">
        <v>0.15</v>
      </c>
      <c r="F246" s="278">
        <v>0.142</v>
      </c>
      <c r="G246" s="279">
        <v>0.144</v>
      </c>
    </row>
    <row r="247" spans="1:7">
      <c r="A247" s="288" t="s">
        <v>284</v>
      </c>
      <c r="B247" s="277" t="s">
        <v>2399</v>
      </c>
      <c r="C247" s="278">
        <v>0.149</v>
      </c>
      <c r="D247" s="278">
        <v>0.149</v>
      </c>
      <c r="E247" s="278">
        <v>0.15</v>
      </c>
      <c r="F247" s="278">
        <v>0.15</v>
      </c>
      <c r="G247" s="279">
        <v>0.15</v>
      </c>
    </row>
    <row r="248" spans="1:7">
      <c r="A248" s="288" t="s">
        <v>284</v>
      </c>
      <c r="B248" s="277" t="s">
        <v>2409</v>
      </c>
      <c r="C248" s="278">
        <v>0.144</v>
      </c>
      <c r="D248" s="278">
        <v>0.144</v>
      </c>
      <c r="E248" s="278">
        <v>0.149</v>
      </c>
      <c r="F248" s="278">
        <v>0.148</v>
      </c>
      <c r="G248" s="279">
        <v>0.146</v>
      </c>
    </row>
    <row r="249" spans="1:7">
      <c r="A249" s="288" t="s">
        <v>284</v>
      </c>
      <c r="B249" s="277" t="s">
        <v>2419</v>
      </c>
      <c r="C249" s="278">
        <v>0.14</v>
      </c>
      <c r="D249" s="278">
        <v>0.14</v>
      </c>
      <c r="E249" s="278">
        <v>0.147</v>
      </c>
      <c r="F249" s="278">
        <v>0.149</v>
      </c>
      <c r="G249" s="279">
        <v>0.142</v>
      </c>
    </row>
    <row r="250" spans="1:7">
      <c r="A250" s="288" t="s">
        <v>284</v>
      </c>
      <c r="B250" s="277" t="s">
        <v>2429</v>
      </c>
      <c r="C250" s="278">
        <v>0.144</v>
      </c>
      <c r="D250" s="278">
        <v>0.143</v>
      </c>
      <c r="E250" s="278">
        <v>0.149</v>
      </c>
      <c r="F250" s="278">
        <v>0.15</v>
      </c>
      <c r="G250" s="279">
        <v>0.146</v>
      </c>
    </row>
    <row r="251" spans="1:7">
      <c r="A251" s="288" t="s">
        <v>284</v>
      </c>
      <c r="B251" s="277" t="s">
        <v>2439</v>
      </c>
      <c r="C251" s="294"/>
      <c r="D251" s="289"/>
      <c r="E251" s="289"/>
      <c r="F251" s="278">
        <v>0.1</v>
      </c>
      <c r="G251" s="295"/>
    </row>
    <row r="252" spans="1:7">
      <c r="A252" s="288" t="s">
        <v>284</v>
      </c>
      <c r="B252" s="277" t="s">
        <v>2449</v>
      </c>
      <c r="C252" s="278">
        <v>0.144</v>
      </c>
      <c r="D252" s="278">
        <v>0.144</v>
      </c>
      <c r="E252" s="278">
        <v>0.15</v>
      </c>
      <c r="F252" s="278">
        <v>0.149</v>
      </c>
      <c r="G252" s="279">
        <v>0.146</v>
      </c>
    </row>
    <row r="253" spans="1:7">
      <c r="A253" s="288" t="s">
        <v>284</v>
      </c>
      <c r="B253" s="277" t="s">
        <v>2459</v>
      </c>
      <c r="C253" s="278">
        <v>0.142</v>
      </c>
      <c r="D253" s="278">
        <v>0.142</v>
      </c>
      <c r="E253" s="278">
        <v>0.146</v>
      </c>
      <c r="F253" s="278">
        <v>0.148</v>
      </c>
      <c r="G253" s="279">
        <v>0.145</v>
      </c>
    </row>
    <row r="254" spans="1:7">
      <c r="A254" s="288" t="s">
        <v>284</v>
      </c>
      <c r="B254" s="277" t="s">
        <v>2468</v>
      </c>
      <c r="C254" s="278">
        <v>0.15</v>
      </c>
      <c r="D254" s="278">
        <v>0.15</v>
      </c>
      <c r="E254" s="278">
        <v>0.15</v>
      </c>
      <c r="F254" s="278">
        <v>0.15</v>
      </c>
      <c r="G254" s="279">
        <v>0.15</v>
      </c>
    </row>
    <row r="255" spans="1:7">
      <c r="A255" s="288" t="s">
        <v>284</v>
      </c>
      <c r="B255" s="277" t="s">
        <v>2476</v>
      </c>
      <c r="C255" s="278">
        <v>0.143</v>
      </c>
      <c r="D255" s="278">
        <v>0.143</v>
      </c>
      <c r="E255" s="278">
        <v>0.15</v>
      </c>
      <c r="F255" s="278">
        <v>0.15</v>
      </c>
      <c r="G255" s="279">
        <v>0.145</v>
      </c>
    </row>
    <row r="256" spans="1:7">
      <c r="A256" s="288" t="s">
        <v>284</v>
      </c>
      <c r="B256" s="277" t="s">
        <v>2484</v>
      </c>
      <c r="C256" s="278">
        <v>0.15</v>
      </c>
      <c r="D256" s="278">
        <v>0.15</v>
      </c>
      <c r="E256" s="278">
        <v>0.15</v>
      </c>
      <c r="F256" s="278">
        <v>0.146</v>
      </c>
      <c r="G256" s="279">
        <v>0.15</v>
      </c>
    </row>
    <row r="257" spans="1:7">
      <c r="A257" s="288" t="s">
        <v>284</v>
      </c>
      <c r="B257" s="277" t="s">
        <v>2492</v>
      </c>
      <c r="C257" s="278">
        <v>0.142</v>
      </c>
      <c r="D257" s="278">
        <v>0.143</v>
      </c>
      <c r="E257" s="278">
        <v>0.148</v>
      </c>
      <c r="F257" s="278">
        <v>0.15</v>
      </c>
      <c r="G257" s="279">
        <v>0.145</v>
      </c>
    </row>
    <row r="258" spans="1:7">
      <c r="A258" s="288" t="s">
        <v>284</v>
      </c>
      <c r="B258" s="277" t="s">
        <v>2500</v>
      </c>
      <c r="C258" s="278">
        <v>0.143</v>
      </c>
      <c r="D258" s="278">
        <v>0.143</v>
      </c>
      <c r="E258" s="278">
        <v>0.15</v>
      </c>
      <c r="F258" s="278">
        <v>0.148</v>
      </c>
      <c r="G258" s="279">
        <v>0.146</v>
      </c>
    </row>
    <row r="259" spans="1:7">
      <c r="A259" s="288" t="s">
        <v>284</v>
      </c>
      <c r="B259" s="277" t="s">
        <v>524</v>
      </c>
      <c r="C259" s="278">
        <v>0.144</v>
      </c>
      <c r="D259" s="278">
        <v>0.144</v>
      </c>
      <c r="E259" s="278">
        <v>0.149</v>
      </c>
      <c r="F259" s="278">
        <v>0.147</v>
      </c>
      <c r="G259" s="279">
        <v>0.146</v>
      </c>
    </row>
    <row r="260" spans="1:7">
      <c r="A260" s="288" t="s">
        <v>284</v>
      </c>
      <c r="B260" s="277" t="s">
        <v>2513</v>
      </c>
      <c r="C260" s="278">
        <v>0.109</v>
      </c>
      <c r="D260" s="278">
        <v>0.111</v>
      </c>
      <c r="E260" s="278">
        <v>0.131</v>
      </c>
      <c r="F260" s="278">
        <v>0.126</v>
      </c>
      <c r="G260" s="279">
        <v>0.119</v>
      </c>
    </row>
    <row r="261" spans="1:7">
      <c r="A261" s="288" t="s">
        <v>284</v>
      </c>
      <c r="B261" s="277" t="s">
        <v>2520</v>
      </c>
      <c r="C261" s="278">
        <v>0.1</v>
      </c>
      <c r="D261" s="278">
        <v>0.1</v>
      </c>
      <c r="E261" s="278">
        <v>0.118</v>
      </c>
      <c r="F261" s="278">
        <v>0.108</v>
      </c>
      <c r="G261" s="279">
        <v>0.107</v>
      </c>
    </row>
    <row r="262" spans="1:7">
      <c r="A262" s="288" t="s">
        <v>284</v>
      </c>
      <c r="B262" s="277" t="s">
        <v>2527</v>
      </c>
      <c r="C262" s="278">
        <v>0.1</v>
      </c>
      <c r="D262" s="278">
        <v>0.1</v>
      </c>
      <c r="E262" s="278">
        <v>0.1</v>
      </c>
      <c r="F262" s="278">
        <v>0.141</v>
      </c>
      <c r="G262" s="279">
        <v>0.1</v>
      </c>
    </row>
    <row r="263" spans="1:7">
      <c r="A263" s="288" t="s">
        <v>284</v>
      </c>
      <c r="B263" s="277" t="s">
        <v>2534</v>
      </c>
      <c r="C263" s="278">
        <v>0.148</v>
      </c>
      <c r="D263" s="278">
        <v>0.148</v>
      </c>
      <c r="E263" s="278">
        <v>0.15</v>
      </c>
      <c r="F263" s="278">
        <v>0.147</v>
      </c>
      <c r="G263" s="279">
        <v>0.15</v>
      </c>
    </row>
    <row r="264" spans="1:7">
      <c r="A264" s="288" t="s">
        <v>284</v>
      </c>
      <c r="B264" s="277" t="s">
        <v>2541</v>
      </c>
      <c r="C264" s="278">
        <v>0.143</v>
      </c>
      <c r="D264" s="278">
        <v>0.143</v>
      </c>
      <c r="E264" s="278">
        <v>0.15</v>
      </c>
      <c r="F264" s="278">
        <v>0.149</v>
      </c>
      <c r="G264" s="279">
        <v>0.146</v>
      </c>
    </row>
    <row r="265" spans="1:7">
      <c r="A265" s="288" t="s">
        <v>284</v>
      </c>
      <c r="B265" s="277" t="s">
        <v>2548</v>
      </c>
      <c r="C265" s="289"/>
      <c r="D265" s="289"/>
      <c r="E265" s="289"/>
      <c r="F265" s="278">
        <v>0.05</v>
      </c>
      <c r="G265" s="295"/>
    </row>
    <row r="266" spans="1:7">
      <c r="A266" s="288" t="s">
        <v>284</v>
      </c>
      <c r="B266" s="277" t="s">
        <v>2553</v>
      </c>
      <c r="C266" s="289"/>
      <c r="D266" s="289"/>
      <c r="E266" s="289"/>
      <c r="F266" s="278">
        <v>0.05</v>
      </c>
      <c r="G266" s="295"/>
    </row>
    <row r="267" spans="1:7">
      <c r="A267" s="288" t="s">
        <v>284</v>
      </c>
      <c r="B267" s="277" t="s">
        <v>2558</v>
      </c>
      <c r="C267" s="289"/>
      <c r="D267" s="289"/>
      <c r="E267" s="289"/>
      <c r="F267" s="278">
        <v>0.05</v>
      </c>
      <c r="G267" s="295"/>
    </row>
    <row r="268" spans="1:7">
      <c r="A268" s="288" t="s">
        <v>284</v>
      </c>
      <c r="B268" s="277" t="s">
        <v>2563</v>
      </c>
      <c r="C268" s="289"/>
      <c r="D268" s="289"/>
      <c r="E268" s="289"/>
      <c r="F268" s="278">
        <v>0.05</v>
      </c>
      <c r="G268" s="295"/>
    </row>
    <row r="269" spans="1:7">
      <c r="A269" s="288" t="s">
        <v>284</v>
      </c>
      <c r="B269" s="277" t="s">
        <v>2568</v>
      </c>
      <c r="C269" s="289"/>
      <c r="D269" s="289"/>
      <c r="E269" s="289"/>
      <c r="F269" s="278">
        <v>0.05</v>
      </c>
      <c r="G269" s="295"/>
    </row>
    <row r="270" spans="1:7">
      <c r="A270" s="288" t="s">
        <v>284</v>
      </c>
      <c r="B270" s="277" t="s">
        <v>2573</v>
      </c>
      <c r="C270" s="289"/>
      <c r="D270" s="289"/>
      <c r="E270" s="289"/>
      <c r="F270" s="278">
        <v>0.05</v>
      </c>
      <c r="G270" s="295"/>
    </row>
    <row r="271" spans="1:7">
      <c r="A271" s="288" t="s">
        <v>284</v>
      </c>
      <c r="B271" s="277" t="s">
        <v>2578</v>
      </c>
      <c r="C271" s="289"/>
      <c r="D271" s="289"/>
      <c r="E271" s="289"/>
      <c r="F271" s="278">
        <v>0.05</v>
      </c>
      <c r="G271" s="295"/>
    </row>
    <row r="272" spans="1:7">
      <c r="A272" s="288" t="s">
        <v>284</v>
      </c>
      <c r="B272" s="277" t="s">
        <v>2583</v>
      </c>
      <c r="C272" s="289"/>
      <c r="D272" s="289"/>
      <c r="E272" s="289"/>
      <c r="F272" s="278">
        <v>0.05</v>
      </c>
      <c r="G272" s="295"/>
    </row>
    <row r="273" spans="1:7">
      <c r="A273" s="288" t="s">
        <v>284</v>
      </c>
      <c r="B273" s="277" t="s">
        <v>2588</v>
      </c>
      <c r="C273" s="289"/>
      <c r="D273" s="289"/>
      <c r="E273" s="289"/>
      <c r="F273" s="278">
        <v>0.05</v>
      </c>
      <c r="G273" s="295"/>
    </row>
    <row r="274" spans="1:7">
      <c r="A274" s="288" t="s">
        <v>284</v>
      </c>
      <c r="B274" s="277" t="s">
        <v>2592</v>
      </c>
      <c r="C274" s="289"/>
      <c r="D274" s="289"/>
      <c r="E274" s="289"/>
      <c r="F274" s="278">
        <v>0.05</v>
      </c>
      <c r="G274" s="295"/>
    </row>
    <row r="275" spans="1:7">
      <c r="A275" s="288" t="s">
        <v>284</v>
      </c>
      <c r="B275" s="277" t="s">
        <v>2596</v>
      </c>
      <c r="C275" s="289"/>
      <c r="D275" s="289"/>
      <c r="E275" s="289"/>
      <c r="F275" s="278">
        <v>0.05</v>
      </c>
      <c r="G275" s="295"/>
    </row>
    <row r="276" ht="14.75" spans="1:7">
      <c r="A276" s="291" t="s">
        <v>284</v>
      </c>
      <c r="B276" s="281" t="s">
        <v>2600</v>
      </c>
      <c r="C276" s="283"/>
      <c r="D276" s="283"/>
      <c r="E276" s="283"/>
      <c r="F276" s="282">
        <v>0.05</v>
      </c>
      <c r="G276" s="296"/>
    </row>
    <row r="277" spans="1:7">
      <c r="A277" s="287" t="s">
        <v>288</v>
      </c>
      <c r="B277" s="273" t="s">
        <v>2256</v>
      </c>
      <c r="C277" s="274">
        <v>0.15</v>
      </c>
      <c r="D277" s="274">
        <v>0.15</v>
      </c>
      <c r="E277" s="274">
        <v>0.15</v>
      </c>
      <c r="F277" s="274">
        <v>0.15</v>
      </c>
      <c r="G277" s="275">
        <v>0.15</v>
      </c>
    </row>
    <row r="278" spans="1:7">
      <c r="A278" s="288" t="s">
        <v>288</v>
      </c>
      <c r="B278" s="277" t="s">
        <v>2269</v>
      </c>
      <c r="C278" s="278">
        <v>0.15</v>
      </c>
      <c r="D278" s="278">
        <v>0.15</v>
      </c>
      <c r="E278" s="278">
        <v>0.15</v>
      </c>
      <c r="F278" s="278">
        <v>0.15</v>
      </c>
      <c r="G278" s="279">
        <v>0.15</v>
      </c>
    </row>
    <row r="279" spans="1:7">
      <c r="A279" s="288" t="s">
        <v>288</v>
      </c>
      <c r="B279" s="277" t="s">
        <v>2283</v>
      </c>
      <c r="C279" s="278">
        <v>0.15</v>
      </c>
      <c r="D279" s="278">
        <v>0.15</v>
      </c>
      <c r="E279" s="278">
        <v>0.15</v>
      </c>
      <c r="F279" s="278">
        <v>0.15</v>
      </c>
      <c r="G279" s="279">
        <v>0.15</v>
      </c>
    </row>
    <row r="280" spans="1:7">
      <c r="A280" s="288" t="s">
        <v>288</v>
      </c>
      <c r="B280" s="277" t="s">
        <v>2295</v>
      </c>
      <c r="C280" s="278">
        <v>0.15</v>
      </c>
      <c r="D280" s="278">
        <v>0.15</v>
      </c>
      <c r="E280" s="278">
        <v>0.15</v>
      </c>
      <c r="F280" s="278">
        <v>0.15</v>
      </c>
      <c r="G280" s="279">
        <v>0.15</v>
      </c>
    </row>
    <row r="281" spans="1:7">
      <c r="A281" s="288" t="s">
        <v>288</v>
      </c>
      <c r="B281" s="277" t="s">
        <v>2307</v>
      </c>
      <c r="C281" s="278">
        <v>0.15</v>
      </c>
      <c r="D281" s="278">
        <v>0.15</v>
      </c>
      <c r="E281" s="278">
        <v>0.15</v>
      </c>
      <c r="F281" s="278">
        <v>0.15</v>
      </c>
      <c r="G281" s="279">
        <v>0.15</v>
      </c>
    </row>
    <row r="282" spans="1:7">
      <c r="A282" s="288" t="s">
        <v>288</v>
      </c>
      <c r="B282" s="277" t="s">
        <v>2318</v>
      </c>
      <c r="C282" s="278">
        <v>0.15</v>
      </c>
      <c r="D282" s="278">
        <v>0.15</v>
      </c>
      <c r="E282" s="278">
        <v>0.15</v>
      </c>
      <c r="F282" s="278">
        <v>0.145</v>
      </c>
      <c r="G282" s="279">
        <v>0.15</v>
      </c>
    </row>
    <row r="283" spans="1:7">
      <c r="A283" s="288" t="s">
        <v>288</v>
      </c>
      <c r="B283" s="277" t="s">
        <v>2329</v>
      </c>
      <c r="C283" s="278">
        <v>0.15</v>
      </c>
      <c r="D283" s="278">
        <v>0.15</v>
      </c>
      <c r="E283" s="278">
        <v>0.15</v>
      </c>
      <c r="F283" s="278">
        <v>0.142</v>
      </c>
      <c r="G283" s="279">
        <v>0.15</v>
      </c>
    </row>
    <row r="284" spans="1:7">
      <c r="A284" s="288" t="s">
        <v>288</v>
      </c>
      <c r="B284" s="277" t="s">
        <v>2340</v>
      </c>
      <c r="C284" s="278">
        <v>0.15</v>
      </c>
      <c r="D284" s="278">
        <v>0.15</v>
      </c>
      <c r="E284" s="278">
        <v>0.15</v>
      </c>
      <c r="F284" s="278">
        <v>0.15</v>
      </c>
      <c r="G284" s="279">
        <v>0.15</v>
      </c>
    </row>
    <row r="285" spans="1:7">
      <c r="A285" s="288" t="s">
        <v>288</v>
      </c>
      <c r="B285" s="277" t="s">
        <v>2350</v>
      </c>
      <c r="C285" s="278">
        <v>0.15</v>
      </c>
      <c r="D285" s="278">
        <v>0.15</v>
      </c>
      <c r="E285" s="278">
        <v>0.15</v>
      </c>
      <c r="F285" s="278">
        <v>0.15</v>
      </c>
      <c r="G285" s="279">
        <v>0.15</v>
      </c>
    </row>
    <row r="286" spans="1:7">
      <c r="A286" s="288" t="s">
        <v>288</v>
      </c>
      <c r="B286" s="277" t="s">
        <v>2360</v>
      </c>
      <c r="C286" s="278">
        <v>0.145</v>
      </c>
      <c r="D286" s="278">
        <v>0.145</v>
      </c>
      <c r="E286" s="278">
        <v>0.15</v>
      </c>
      <c r="F286" s="278">
        <v>0.141</v>
      </c>
      <c r="G286" s="279">
        <v>0.145</v>
      </c>
    </row>
    <row r="287" spans="1:7">
      <c r="A287" s="288" t="s">
        <v>288</v>
      </c>
      <c r="B287" s="277" t="s">
        <v>2370</v>
      </c>
      <c r="C287" s="278">
        <v>0.11</v>
      </c>
      <c r="D287" s="278">
        <v>0.111</v>
      </c>
      <c r="E287" s="278">
        <v>0.141</v>
      </c>
      <c r="F287" s="278">
        <v>0.11</v>
      </c>
      <c r="G287" s="279">
        <v>0.12</v>
      </c>
    </row>
    <row r="288" spans="1:7">
      <c r="A288" s="288" t="s">
        <v>288</v>
      </c>
      <c r="B288" s="277" t="s">
        <v>2380</v>
      </c>
      <c r="C288" s="278">
        <v>0.142</v>
      </c>
      <c r="D288" s="278">
        <v>0.143</v>
      </c>
      <c r="E288" s="278">
        <v>0.15</v>
      </c>
      <c r="F288" s="278">
        <v>0.142</v>
      </c>
      <c r="G288" s="279">
        <v>0.144</v>
      </c>
    </row>
    <row r="289" spans="1:7">
      <c r="A289" s="288" t="s">
        <v>288</v>
      </c>
      <c r="B289" s="277" t="s">
        <v>2390</v>
      </c>
      <c r="C289" s="278">
        <v>0.143</v>
      </c>
      <c r="D289" s="278">
        <v>0.143</v>
      </c>
      <c r="E289" s="278">
        <v>0.148</v>
      </c>
      <c r="F289" s="278">
        <v>0.144</v>
      </c>
      <c r="G289" s="279">
        <v>0.144</v>
      </c>
    </row>
    <row r="290" spans="1:7">
      <c r="A290" s="288" t="s">
        <v>288</v>
      </c>
      <c r="B290" s="277" t="s">
        <v>2400</v>
      </c>
      <c r="C290" s="278">
        <v>0.148</v>
      </c>
      <c r="D290" s="278">
        <v>0.149</v>
      </c>
      <c r="E290" s="278">
        <v>0.15</v>
      </c>
      <c r="F290" s="278">
        <v>0.127</v>
      </c>
      <c r="G290" s="279">
        <v>0.15</v>
      </c>
    </row>
    <row r="291" spans="1:7">
      <c r="A291" s="288" t="s">
        <v>288</v>
      </c>
      <c r="B291" s="277" t="s">
        <v>2410</v>
      </c>
      <c r="C291" s="278">
        <v>0.15</v>
      </c>
      <c r="D291" s="278">
        <v>0.15</v>
      </c>
      <c r="E291" s="278">
        <v>0.15</v>
      </c>
      <c r="F291" s="278">
        <v>0.149</v>
      </c>
      <c r="G291" s="279">
        <v>0.15</v>
      </c>
    </row>
    <row r="292" spans="1:7">
      <c r="A292" s="288" t="s">
        <v>288</v>
      </c>
      <c r="B292" s="277" t="s">
        <v>2420</v>
      </c>
      <c r="C292" s="278">
        <v>0.15</v>
      </c>
      <c r="D292" s="278">
        <v>0.15</v>
      </c>
      <c r="E292" s="278">
        <v>0.15</v>
      </c>
      <c r="F292" s="278">
        <v>0.144</v>
      </c>
      <c r="G292" s="279">
        <v>0.15</v>
      </c>
    </row>
    <row r="293" spans="1:7">
      <c r="A293" s="288" t="s">
        <v>288</v>
      </c>
      <c r="B293" s="277" t="s">
        <v>2430</v>
      </c>
      <c r="C293" s="278">
        <v>0.15</v>
      </c>
      <c r="D293" s="278">
        <v>0.15</v>
      </c>
      <c r="E293" s="278">
        <v>0.15</v>
      </c>
      <c r="F293" s="278">
        <v>0.145</v>
      </c>
      <c r="G293" s="279">
        <v>0.15</v>
      </c>
    </row>
    <row r="294" spans="1:7">
      <c r="A294" s="288" t="s">
        <v>288</v>
      </c>
      <c r="B294" s="277" t="s">
        <v>2440</v>
      </c>
      <c r="C294" s="278">
        <v>0.15</v>
      </c>
      <c r="D294" s="278">
        <v>0.15</v>
      </c>
      <c r="E294" s="278">
        <v>0.15</v>
      </c>
      <c r="F294" s="278">
        <v>0.149</v>
      </c>
      <c r="G294" s="279">
        <v>0.15</v>
      </c>
    </row>
    <row r="295" spans="1:7">
      <c r="A295" s="288" t="s">
        <v>288</v>
      </c>
      <c r="B295" s="277" t="s">
        <v>2450</v>
      </c>
      <c r="C295" s="278">
        <v>0.15</v>
      </c>
      <c r="D295" s="278">
        <v>0.15</v>
      </c>
      <c r="E295" s="278">
        <v>0.15</v>
      </c>
      <c r="F295" s="278">
        <v>0.148</v>
      </c>
      <c r="G295" s="279">
        <v>0.15</v>
      </c>
    </row>
    <row r="296" spans="1:7">
      <c r="A296" s="288" t="s">
        <v>288</v>
      </c>
      <c r="B296" s="277" t="s">
        <v>2460</v>
      </c>
      <c r="C296" s="278">
        <v>0.15</v>
      </c>
      <c r="D296" s="278">
        <v>0.15</v>
      </c>
      <c r="E296" s="278">
        <v>0.15</v>
      </c>
      <c r="F296" s="278">
        <v>0.144</v>
      </c>
      <c r="G296" s="279">
        <v>0.15</v>
      </c>
    </row>
    <row r="297" spans="1:7">
      <c r="A297" s="288" t="s">
        <v>288</v>
      </c>
      <c r="B297" s="277" t="s">
        <v>2469</v>
      </c>
      <c r="C297" s="278">
        <v>0.15</v>
      </c>
      <c r="D297" s="278">
        <v>0.15</v>
      </c>
      <c r="E297" s="278">
        <v>0.15</v>
      </c>
      <c r="F297" s="278">
        <v>0.145</v>
      </c>
      <c r="G297" s="279">
        <v>0.15</v>
      </c>
    </row>
    <row r="298" spans="1:7">
      <c r="A298" s="288" t="s">
        <v>288</v>
      </c>
      <c r="B298" s="277" t="s">
        <v>2477</v>
      </c>
      <c r="C298" s="278">
        <v>0.15</v>
      </c>
      <c r="D298" s="278">
        <v>0.15</v>
      </c>
      <c r="E298" s="278">
        <v>0.15</v>
      </c>
      <c r="F298" s="278">
        <v>0.15</v>
      </c>
      <c r="G298" s="279">
        <v>0.15</v>
      </c>
    </row>
    <row r="299" spans="1:7">
      <c r="A299" s="288" t="s">
        <v>288</v>
      </c>
      <c r="B299" s="297" t="s">
        <v>2485</v>
      </c>
      <c r="C299" s="278">
        <v>0.15</v>
      </c>
      <c r="D299" s="278">
        <v>0.15</v>
      </c>
      <c r="E299" s="278">
        <v>0.15</v>
      </c>
      <c r="F299" s="278">
        <v>0.145</v>
      </c>
      <c r="G299" s="279">
        <v>0.15</v>
      </c>
    </row>
    <row r="300" spans="1:7">
      <c r="A300" s="288" t="s">
        <v>288</v>
      </c>
      <c r="B300" s="297" t="s">
        <v>2493</v>
      </c>
      <c r="C300" s="278">
        <v>0.15</v>
      </c>
      <c r="D300" s="278">
        <v>0.15</v>
      </c>
      <c r="E300" s="278">
        <v>0.15</v>
      </c>
      <c r="F300" s="278">
        <v>0.146</v>
      </c>
      <c r="G300" s="279">
        <v>0.15</v>
      </c>
    </row>
    <row r="301" spans="1:7">
      <c r="A301" s="288" t="s">
        <v>288</v>
      </c>
      <c r="B301" s="297" t="s">
        <v>2501</v>
      </c>
      <c r="C301" s="278">
        <v>0.126</v>
      </c>
      <c r="D301" s="278">
        <v>0.124</v>
      </c>
      <c r="E301" s="278">
        <v>0.141</v>
      </c>
      <c r="F301" s="278">
        <v>0.144</v>
      </c>
      <c r="G301" s="279">
        <v>0.13</v>
      </c>
    </row>
    <row r="302" spans="1:7">
      <c r="A302" s="288" t="s">
        <v>288</v>
      </c>
      <c r="B302" s="277" t="s">
        <v>2507</v>
      </c>
      <c r="C302" s="278">
        <v>0.15</v>
      </c>
      <c r="D302" s="278">
        <v>0.15</v>
      </c>
      <c r="E302" s="278">
        <v>0.15</v>
      </c>
      <c r="F302" s="278">
        <v>0.147</v>
      </c>
      <c r="G302" s="279">
        <v>0.15</v>
      </c>
    </row>
    <row r="303" spans="1:7">
      <c r="A303" s="288" t="s">
        <v>288</v>
      </c>
      <c r="B303" s="277" t="s">
        <v>2514</v>
      </c>
      <c r="C303" s="278">
        <v>0.15</v>
      </c>
      <c r="D303" s="278">
        <v>0.15</v>
      </c>
      <c r="E303" s="278">
        <v>0.15</v>
      </c>
      <c r="F303" s="278">
        <v>0.142</v>
      </c>
      <c r="G303" s="279">
        <v>0.15</v>
      </c>
    </row>
    <row r="304" spans="1:7">
      <c r="A304" s="288" t="s">
        <v>288</v>
      </c>
      <c r="B304" s="277" t="s">
        <v>2521</v>
      </c>
      <c r="C304" s="278">
        <v>0.15</v>
      </c>
      <c r="D304" s="278">
        <v>0.15</v>
      </c>
      <c r="E304" s="278">
        <v>0.15</v>
      </c>
      <c r="F304" s="278">
        <v>0.145</v>
      </c>
      <c r="G304" s="279">
        <v>0.15</v>
      </c>
    </row>
    <row r="305" spans="1:7">
      <c r="A305" s="288" t="s">
        <v>288</v>
      </c>
      <c r="B305" s="277" t="s">
        <v>2528</v>
      </c>
      <c r="C305" s="278">
        <v>0.15</v>
      </c>
      <c r="D305" s="278">
        <v>0.15</v>
      </c>
      <c r="E305" s="278">
        <v>0.15</v>
      </c>
      <c r="F305" s="278">
        <v>0.111</v>
      </c>
      <c r="G305" s="279">
        <v>0.15</v>
      </c>
    </row>
    <row r="306" spans="1:7">
      <c r="A306" s="288" t="s">
        <v>288</v>
      </c>
      <c r="B306" s="277" t="s">
        <v>2535</v>
      </c>
      <c r="C306" s="278">
        <v>0.15</v>
      </c>
      <c r="D306" s="278">
        <v>0.15</v>
      </c>
      <c r="E306" s="278">
        <v>0.15</v>
      </c>
      <c r="F306" s="278">
        <v>0.126</v>
      </c>
      <c r="G306" s="279">
        <v>0.15</v>
      </c>
    </row>
    <row r="307" spans="1:7">
      <c r="A307" s="288" t="s">
        <v>288</v>
      </c>
      <c r="B307" s="277" t="s">
        <v>2542</v>
      </c>
      <c r="C307" s="278">
        <v>0.15</v>
      </c>
      <c r="D307" s="278">
        <v>0.15</v>
      </c>
      <c r="E307" s="278">
        <v>0.15</v>
      </c>
      <c r="F307" s="278">
        <v>0.12</v>
      </c>
      <c r="G307" s="279">
        <v>0.15</v>
      </c>
    </row>
    <row r="308" spans="1:7">
      <c r="A308" s="288" t="s">
        <v>288</v>
      </c>
      <c r="B308" s="277" t="s">
        <v>2549</v>
      </c>
      <c r="C308" s="278">
        <v>0.15</v>
      </c>
      <c r="D308" s="278">
        <v>0.15</v>
      </c>
      <c r="E308" s="278">
        <v>0.15</v>
      </c>
      <c r="F308" s="278">
        <v>0.13</v>
      </c>
      <c r="G308" s="279">
        <v>0.15</v>
      </c>
    </row>
    <row r="309" spans="1:7">
      <c r="A309" s="288" t="s">
        <v>288</v>
      </c>
      <c r="B309" s="277" t="s">
        <v>2554</v>
      </c>
      <c r="C309" s="278">
        <v>0.15</v>
      </c>
      <c r="D309" s="278">
        <v>0.15</v>
      </c>
      <c r="E309" s="278">
        <v>0.15</v>
      </c>
      <c r="F309" s="278">
        <v>0.141</v>
      </c>
      <c r="G309" s="279">
        <v>0.15</v>
      </c>
    </row>
    <row r="310" spans="1:7">
      <c r="A310" s="288" t="s">
        <v>288</v>
      </c>
      <c r="B310" s="277" t="s">
        <v>2559</v>
      </c>
      <c r="C310" s="278">
        <v>0.15</v>
      </c>
      <c r="D310" s="278">
        <v>0.15</v>
      </c>
      <c r="E310" s="278">
        <v>0.15</v>
      </c>
      <c r="F310" s="278">
        <v>0.15</v>
      </c>
      <c r="G310" s="279">
        <v>0.15</v>
      </c>
    </row>
    <row r="311" spans="1:7">
      <c r="A311" s="288" t="s">
        <v>288</v>
      </c>
      <c r="B311" s="277" t="s">
        <v>2564</v>
      </c>
      <c r="C311" s="278">
        <v>0.132</v>
      </c>
      <c r="D311" s="278">
        <v>0.133</v>
      </c>
      <c r="E311" s="278">
        <v>0.145</v>
      </c>
      <c r="F311" s="278">
        <v>0.142</v>
      </c>
      <c r="G311" s="279">
        <v>0.14</v>
      </c>
    </row>
    <row r="312" spans="1:7">
      <c r="A312" s="288" t="s">
        <v>288</v>
      </c>
      <c r="B312" s="277" t="s">
        <v>2569</v>
      </c>
      <c r="C312" s="278">
        <v>0.138</v>
      </c>
      <c r="D312" s="278">
        <v>0.14</v>
      </c>
      <c r="E312" s="278">
        <v>0.146</v>
      </c>
      <c r="F312" s="278">
        <v>0.149</v>
      </c>
      <c r="G312" s="279">
        <v>0.142</v>
      </c>
    </row>
    <row r="313" spans="1:7">
      <c r="A313" s="288" t="s">
        <v>288</v>
      </c>
      <c r="B313" s="277" t="s">
        <v>2574</v>
      </c>
      <c r="C313" s="278">
        <v>0.125</v>
      </c>
      <c r="D313" s="278">
        <v>0.127</v>
      </c>
      <c r="E313" s="278">
        <v>0.144</v>
      </c>
      <c r="F313" s="278">
        <v>0.115</v>
      </c>
      <c r="G313" s="279">
        <v>0.136</v>
      </c>
    </row>
    <row r="314" spans="1:7">
      <c r="A314" s="288" t="s">
        <v>288</v>
      </c>
      <c r="B314" s="277" t="s">
        <v>2579</v>
      </c>
      <c r="C314" s="294"/>
      <c r="D314" s="294"/>
      <c r="E314" s="294"/>
      <c r="F314" s="278">
        <v>0.05</v>
      </c>
      <c r="G314" s="295"/>
    </row>
    <row r="315" spans="1:7">
      <c r="A315" s="288" t="s">
        <v>288</v>
      </c>
      <c r="B315" s="277" t="s">
        <v>2584</v>
      </c>
      <c r="C315" s="294"/>
      <c r="D315" s="294"/>
      <c r="E315" s="294"/>
      <c r="F315" s="278">
        <v>0.05</v>
      </c>
      <c r="G315" s="295"/>
    </row>
    <row r="316" spans="1:7">
      <c r="A316" s="288" t="s">
        <v>288</v>
      </c>
      <c r="B316" s="277" t="s">
        <v>2589</v>
      </c>
      <c r="C316" s="289"/>
      <c r="D316" s="289"/>
      <c r="E316" s="289"/>
      <c r="F316" s="278">
        <v>0.05</v>
      </c>
      <c r="G316" s="295"/>
    </row>
    <row r="317" spans="1:7">
      <c r="A317" s="288" t="s">
        <v>288</v>
      </c>
      <c r="B317" s="277" t="s">
        <v>2593</v>
      </c>
      <c r="C317" s="289"/>
      <c r="D317" s="289"/>
      <c r="E317" s="289"/>
      <c r="F317" s="278">
        <v>0.05</v>
      </c>
      <c r="G317" s="295"/>
    </row>
    <row r="318" spans="1:7">
      <c r="A318" s="288" t="s">
        <v>288</v>
      </c>
      <c r="B318" s="277" t="s">
        <v>2597</v>
      </c>
      <c r="C318" s="289"/>
      <c r="D318" s="289"/>
      <c r="E318" s="289"/>
      <c r="F318" s="278">
        <v>0.05</v>
      </c>
      <c r="G318" s="295"/>
    </row>
    <row r="319" spans="1:7">
      <c r="A319" s="288" t="s">
        <v>288</v>
      </c>
      <c r="B319" s="277" t="s">
        <v>2601</v>
      </c>
      <c r="C319" s="289"/>
      <c r="D319" s="289"/>
      <c r="E319" s="289"/>
      <c r="F319" s="278">
        <v>0.05</v>
      </c>
      <c r="G319" s="295"/>
    </row>
    <row r="320" spans="1:7">
      <c r="A320" s="288" t="s">
        <v>288</v>
      </c>
      <c r="B320" s="277" t="s">
        <v>2604</v>
      </c>
      <c r="C320" s="289"/>
      <c r="D320" s="289"/>
      <c r="E320" s="289"/>
      <c r="F320" s="278">
        <v>0.05</v>
      </c>
      <c r="G320" s="295"/>
    </row>
    <row r="321" spans="1:7">
      <c r="A321" s="288" t="s">
        <v>288</v>
      </c>
      <c r="B321" s="277" t="s">
        <v>2606</v>
      </c>
      <c r="C321" s="289"/>
      <c r="D321" s="289"/>
      <c r="E321" s="289"/>
      <c r="F321" s="278">
        <v>0.05</v>
      </c>
      <c r="G321" s="295"/>
    </row>
    <row r="322" spans="1:7">
      <c r="A322" s="288" t="s">
        <v>288</v>
      </c>
      <c r="B322" s="277" t="s">
        <v>2608</v>
      </c>
      <c r="C322" s="289"/>
      <c r="D322" s="289"/>
      <c r="E322" s="289"/>
      <c r="F322" s="278">
        <v>0.05</v>
      </c>
      <c r="G322" s="295"/>
    </row>
    <row r="323" spans="1:7">
      <c r="A323" s="288" t="s">
        <v>288</v>
      </c>
      <c r="B323" s="277" t="s">
        <v>2610</v>
      </c>
      <c r="C323" s="289"/>
      <c r="D323" s="289"/>
      <c r="E323" s="289"/>
      <c r="F323" s="278">
        <v>0.05</v>
      </c>
      <c r="G323" s="295"/>
    </row>
    <row r="324" spans="1:7">
      <c r="A324" s="288" t="s">
        <v>288</v>
      </c>
      <c r="B324" s="277" t="s">
        <v>2612</v>
      </c>
      <c r="C324" s="289"/>
      <c r="D324" s="289"/>
      <c r="E324" s="289"/>
      <c r="F324" s="278">
        <v>0.05</v>
      </c>
      <c r="G324" s="295"/>
    </row>
    <row r="325" spans="1:7">
      <c r="A325" s="288" t="s">
        <v>288</v>
      </c>
      <c r="B325" s="277" t="s">
        <v>2614</v>
      </c>
      <c r="C325" s="289"/>
      <c r="D325" s="289"/>
      <c r="E325" s="289"/>
      <c r="F325" s="278">
        <v>0.05</v>
      </c>
      <c r="G325" s="295"/>
    </row>
    <row r="326" ht="14.75" spans="1:7">
      <c r="A326" s="291" t="s">
        <v>288</v>
      </c>
      <c r="B326" s="281" t="s">
        <v>2616</v>
      </c>
      <c r="C326" s="283"/>
      <c r="D326" s="283"/>
      <c r="E326" s="283"/>
      <c r="F326" s="282">
        <v>0.05</v>
      </c>
      <c r="G326" s="296"/>
    </row>
    <row r="327" spans="1:7">
      <c r="A327" s="287" t="s">
        <v>292</v>
      </c>
      <c r="B327" s="273" t="s">
        <v>2257</v>
      </c>
      <c r="C327" s="274">
        <v>0.15</v>
      </c>
      <c r="D327" s="274">
        <v>0.15</v>
      </c>
      <c r="E327" s="274">
        <v>0.15</v>
      </c>
      <c r="F327" s="274">
        <v>0.15</v>
      </c>
      <c r="G327" s="275">
        <v>0.15</v>
      </c>
    </row>
    <row r="328" spans="1:7">
      <c r="A328" s="288" t="s">
        <v>292</v>
      </c>
      <c r="B328" s="277" t="s">
        <v>2270</v>
      </c>
      <c r="C328" s="278">
        <v>0.15</v>
      </c>
      <c r="D328" s="278">
        <v>0.15</v>
      </c>
      <c r="E328" s="278">
        <v>0.15</v>
      </c>
      <c r="F328" s="278">
        <v>0.126</v>
      </c>
      <c r="G328" s="279">
        <v>0.15</v>
      </c>
    </row>
    <row r="329" spans="1:7">
      <c r="A329" s="288" t="s">
        <v>292</v>
      </c>
      <c r="B329" s="277" t="s">
        <v>2284</v>
      </c>
      <c r="C329" s="278">
        <v>0.15</v>
      </c>
      <c r="D329" s="278">
        <v>0.15</v>
      </c>
      <c r="E329" s="278">
        <v>0.15</v>
      </c>
      <c r="F329" s="278">
        <v>0.15</v>
      </c>
      <c r="G329" s="279">
        <v>0.15</v>
      </c>
    </row>
    <row r="330" spans="1:7">
      <c r="A330" s="288" t="s">
        <v>292</v>
      </c>
      <c r="B330" s="277" t="s">
        <v>2296</v>
      </c>
      <c r="C330" s="278">
        <v>0.15</v>
      </c>
      <c r="D330" s="278">
        <v>0.15</v>
      </c>
      <c r="E330" s="278">
        <v>0.15</v>
      </c>
      <c r="F330" s="278">
        <v>0.15</v>
      </c>
      <c r="G330" s="279">
        <v>0.15</v>
      </c>
    </row>
    <row r="331" spans="1:7">
      <c r="A331" s="288" t="s">
        <v>292</v>
      </c>
      <c r="B331" s="277" t="s">
        <v>2308</v>
      </c>
      <c r="C331" s="278">
        <v>0.15</v>
      </c>
      <c r="D331" s="278">
        <v>0.15</v>
      </c>
      <c r="E331" s="278">
        <v>0.15</v>
      </c>
      <c r="F331" s="278">
        <v>0.15</v>
      </c>
      <c r="G331" s="279">
        <v>0.15</v>
      </c>
    </row>
    <row r="332" spans="1:7">
      <c r="A332" s="288" t="s">
        <v>292</v>
      </c>
      <c r="B332" s="277" t="s">
        <v>2319</v>
      </c>
      <c r="C332" s="278">
        <v>0.15</v>
      </c>
      <c r="D332" s="278">
        <v>0.15</v>
      </c>
      <c r="E332" s="278">
        <v>0.15</v>
      </c>
      <c r="F332" s="278">
        <v>0.15</v>
      </c>
      <c r="G332" s="279">
        <v>0.15</v>
      </c>
    </row>
    <row r="333" spans="1:7">
      <c r="A333" s="288" t="s">
        <v>292</v>
      </c>
      <c r="B333" s="277" t="s">
        <v>2330</v>
      </c>
      <c r="C333" s="278">
        <v>0.149</v>
      </c>
      <c r="D333" s="278">
        <v>0.149</v>
      </c>
      <c r="E333" s="278">
        <v>0.15</v>
      </c>
      <c r="F333" s="278">
        <v>0.116</v>
      </c>
      <c r="G333" s="279">
        <v>0.15</v>
      </c>
    </row>
    <row r="334" spans="1:7">
      <c r="A334" s="288" t="s">
        <v>292</v>
      </c>
      <c r="B334" s="277" t="s">
        <v>2341</v>
      </c>
      <c r="C334" s="278">
        <v>0.15</v>
      </c>
      <c r="D334" s="278">
        <v>0.15</v>
      </c>
      <c r="E334" s="278">
        <v>0.15</v>
      </c>
      <c r="F334" s="278">
        <v>0.13</v>
      </c>
      <c r="G334" s="279">
        <v>0.15</v>
      </c>
    </row>
    <row r="335" spans="1:7">
      <c r="A335" s="288" t="s">
        <v>292</v>
      </c>
      <c r="B335" s="277" t="s">
        <v>2351</v>
      </c>
      <c r="C335" s="278">
        <v>0.15</v>
      </c>
      <c r="D335" s="278">
        <v>0.15</v>
      </c>
      <c r="E335" s="278">
        <v>0.15</v>
      </c>
      <c r="F335" s="278">
        <v>0.144</v>
      </c>
      <c r="G335" s="279">
        <v>0.15</v>
      </c>
    </row>
    <row r="336" spans="1:7">
      <c r="A336" s="288" t="s">
        <v>292</v>
      </c>
      <c r="B336" s="277" t="s">
        <v>2361</v>
      </c>
      <c r="C336" s="278">
        <v>0.15</v>
      </c>
      <c r="D336" s="278">
        <v>0.15</v>
      </c>
      <c r="E336" s="278">
        <v>0.15</v>
      </c>
      <c r="F336" s="278">
        <v>0.142</v>
      </c>
      <c r="G336" s="279">
        <v>0.15</v>
      </c>
    </row>
    <row r="337" spans="1:7">
      <c r="A337" s="288" t="s">
        <v>292</v>
      </c>
      <c r="B337" s="277" t="s">
        <v>2371</v>
      </c>
      <c r="C337" s="278">
        <v>0.15</v>
      </c>
      <c r="D337" s="278">
        <v>0.15</v>
      </c>
      <c r="E337" s="278">
        <v>0.15</v>
      </c>
      <c r="F337" s="278">
        <v>0.145</v>
      </c>
      <c r="G337" s="279">
        <v>0.15</v>
      </c>
    </row>
    <row r="338" spans="1:7">
      <c r="A338" s="288" t="s">
        <v>292</v>
      </c>
      <c r="B338" s="277" t="s">
        <v>2381</v>
      </c>
      <c r="C338" s="278">
        <v>0.15</v>
      </c>
      <c r="D338" s="278">
        <v>0.15</v>
      </c>
      <c r="E338" s="278">
        <v>0.15</v>
      </c>
      <c r="F338" s="278">
        <v>0.15</v>
      </c>
      <c r="G338" s="279">
        <v>0.15</v>
      </c>
    </row>
    <row r="339" spans="1:7">
      <c r="A339" s="288" t="s">
        <v>292</v>
      </c>
      <c r="B339" s="277" t="s">
        <v>2391</v>
      </c>
      <c r="C339" s="278">
        <v>0.15</v>
      </c>
      <c r="D339" s="278">
        <v>0.15</v>
      </c>
      <c r="E339" s="278">
        <v>0.15</v>
      </c>
      <c r="F339" s="278">
        <v>0.147</v>
      </c>
      <c r="G339" s="279">
        <v>0.15</v>
      </c>
    </row>
    <row r="340" spans="1:7">
      <c r="A340" s="288" t="s">
        <v>292</v>
      </c>
      <c r="B340" s="277" t="s">
        <v>2401</v>
      </c>
      <c r="C340" s="278">
        <v>0.146</v>
      </c>
      <c r="D340" s="278">
        <v>0.146</v>
      </c>
      <c r="E340" s="278">
        <v>0.15</v>
      </c>
      <c r="F340" s="278">
        <v>0.141</v>
      </c>
      <c r="G340" s="279">
        <v>0.147</v>
      </c>
    </row>
    <row r="341" spans="1:7">
      <c r="A341" s="288" t="s">
        <v>292</v>
      </c>
      <c r="B341" s="277" t="s">
        <v>2411</v>
      </c>
      <c r="C341" s="278">
        <v>0.126</v>
      </c>
      <c r="D341" s="278">
        <v>0.124</v>
      </c>
      <c r="E341" s="278">
        <v>0.141</v>
      </c>
      <c r="F341" s="278">
        <v>0.144</v>
      </c>
      <c r="G341" s="279">
        <v>0.13</v>
      </c>
    </row>
    <row r="342" spans="1:7">
      <c r="A342" s="288" t="s">
        <v>292</v>
      </c>
      <c r="B342" s="277" t="s">
        <v>2421</v>
      </c>
      <c r="C342" s="278">
        <v>0.15</v>
      </c>
      <c r="D342" s="278">
        <v>0.15</v>
      </c>
      <c r="E342" s="278">
        <v>0.15</v>
      </c>
      <c r="F342" s="278">
        <v>0.144</v>
      </c>
      <c r="G342" s="279">
        <v>0.15</v>
      </c>
    </row>
    <row r="343" spans="1:7">
      <c r="A343" s="288" t="s">
        <v>292</v>
      </c>
      <c r="B343" s="277" t="s">
        <v>2431</v>
      </c>
      <c r="C343" s="278">
        <v>0.15</v>
      </c>
      <c r="D343" s="278">
        <v>0.15</v>
      </c>
      <c r="E343" s="278">
        <v>0.15</v>
      </c>
      <c r="F343" s="278">
        <v>0.128</v>
      </c>
      <c r="G343" s="279">
        <v>0.15</v>
      </c>
    </row>
    <row r="344" spans="1:7">
      <c r="A344" s="288" t="s">
        <v>292</v>
      </c>
      <c r="B344" s="277" t="s">
        <v>2441</v>
      </c>
      <c r="C344" s="278">
        <v>0.15</v>
      </c>
      <c r="D344" s="278">
        <v>0.15</v>
      </c>
      <c r="E344" s="278">
        <v>0.15</v>
      </c>
      <c r="F344" s="278">
        <v>0.148</v>
      </c>
      <c r="G344" s="279">
        <v>0.15</v>
      </c>
    </row>
    <row r="345" spans="1:7">
      <c r="A345" s="288" t="s">
        <v>292</v>
      </c>
      <c r="B345" s="277" t="s">
        <v>2451</v>
      </c>
      <c r="C345" s="278">
        <v>0.15</v>
      </c>
      <c r="D345" s="278">
        <v>0.15</v>
      </c>
      <c r="E345" s="278">
        <v>0.15</v>
      </c>
      <c r="F345" s="278">
        <v>0.138</v>
      </c>
      <c r="G345" s="279">
        <v>0.15</v>
      </c>
    </row>
    <row r="346" spans="1:7">
      <c r="A346" s="288" t="s">
        <v>292</v>
      </c>
      <c r="B346" s="277" t="s">
        <v>2461</v>
      </c>
      <c r="C346" s="278">
        <v>0.15</v>
      </c>
      <c r="D346" s="278">
        <v>0.15</v>
      </c>
      <c r="E346" s="278">
        <v>0.15</v>
      </c>
      <c r="F346" s="278">
        <v>0.144</v>
      </c>
      <c r="G346" s="279">
        <v>0.15</v>
      </c>
    </row>
    <row r="347" spans="1:7">
      <c r="A347" s="288" t="s">
        <v>292</v>
      </c>
      <c r="B347" s="277" t="s">
        <v>2470</v>
      </c>
      <c r="C347" s="278">
        <v>0.15</v>
      </c>
      <c r="D347" s="278">
        <v>0.15</v>
      </c>
      <c r="E347" s="278">
        <v>0.15</v>
      </c>
      <c r="F347" s="278">
        <v>0.146</v>
      </c>
      <c r="G347" s="279">
        <v>0.15</v>
      </c>
    </row>
    <row r="348" spans="1:7">
      <c r="A348" s="288" t="s">
        <v>292</v>
      </c>
      <c r="B348" s="277" t="s">
        <v>2478</v>
      </c>
      <c r="C348" s="278">
        <v>0.15</v>
      </c>
      <c r="D348" s="278">
        <v>0.15</v>
      </c>
      <c r="E348" s="278">
        <v>0.15</v>
      </c>
      <c r="F348" s="278">
        <v>0.144</v>
      </c>
      <c r="G348" s="279">
        <v>0.15</v>
      </c>
    </row>
    <row r="349" spans="1:7">
      <c r="A349" s="288" t="s">
        <v>292</v>
      </c>
      <c r="B349" s="277" t="s">
        <v>2486</v>
      </c>
      <c r="C349" s="278">
        <v>0.15</v>
      </c>
      <c r="D349" s="278">
        <v>0.15</v>
      </c>
      <c r="E349" s="278">
        <v>0.15</v>
      </c>
      <c r="F349" s="278">
        <v>0.15</v>
      </c>
      <c r="G349" s="279">
        <v>0.15</v>
      </c>
    </row>
    <row r="350" spans="1:7">
      <c r="A350" s="288" t="s">
        <v>292</v>
      </c>
      <c r="B350" s="277" t="s">
        <v>2494</v>
      </c>
      <c r="C350" s="278">
        <v>0.15</v>
      </c>
      <c r="D350" s="278">
        <v>0.15</v>
      </c>
      <c r="E350" s="278">
        <v>0.15</v>
      </c>
      <c r="F350" s="278">
        <v>0.147</v>
      </c>
      <c r="G350" s="279">
        <v>0.15</v>
      </c>
    </row>
    <row r="351" spans="1:7">
      <c r="A351" s="288" t="s">
        <v>292</v>
      </c>
      <c r="B351" s="277" t="s">
        <v>2502</v>
      </c>
      <c r="C351" s="278">
        <v>0.15</v>
      </c>
      <c r="D351" s="278">
        <v>0.15</v>
      </c>
      <c r="E351" s="278">
        <v>0.15</v>
      </c>
      <c r="F351" s="278">
        <v>0.13</v>
      </c>
      <c r="G351" s="279">
        <v>0.15</v>
      </c>
    </row>
    <row r="352" spans="1:7">
      <c r="A352" s="288" t="s">
        <v>292</v>
      </c>
      <c r="B352" s="277" t="s">
        <v>2508</v>
      </c>
      <c r="C352" s="278">
        <v>0.15</v>
      </c>
      <c r="D352" s="278">
        <v>0.15</v>
      </c>
      <c r="E352" s="278">
        <v>0.15</v>
      </c>
      <c r="F352" s="278">
        <v>0.146</v>
      </c>
      <c r="G352" s="279">
        <v>0.15</v>
      </c>
    </row>
    <row r="353" spans="1:7">
      <c r="A353" s="288" t="s">
        <v>292</v>
      </c>
      <c r="B353" s="277" t="s">
        <v>2515</v>
      </c>
      <c r="C353" s="278">
        <v>0.15</v>
      </c>
      <c r="D353" s="278">
        <v>0.15</v>
      </c>
      <c r="E353" s="278">
        <v>0.15</v>
      </c>
      <c r="F353" s="278">
        <v>0.145</v>
      </c>
      <c r="G353" s="279">
        <v>0.15</v>
      </c>
    </row>
    <row r="354" spans="1:7">
      <c r="A354" s="288" t="s">
        <v>292</v>
      </c>
      <c r="B354" s="277" t="s">
        <v>2522</v>
      </c>
      <c r="C354" s="278">
        <v>0.15</v>
      </c>
      <c r="D354" s="278">
        <v>0.15</v>
      </c>
      <c r="E354" s="278">
        <v>0.15</v>
      </c>
      <c r="F354" s="278">
        <v>0.141</v>
      </c>
      <c r="G354" s="279">
        <v>0.15</v>
      </c>
    </row>
    <row r="355" spans="1:7">
      <c r="A355" s="288" t="s">
        <v>292</v>
      </c>
      <c r="B355" s="277" t="s">
        <v>2529</v>
      </c>
      <c r="C355" s="278">
        <v>0.15</v>
      </c>
      <c r="D355" s="278">
        <v>0.15</v>
      </c>
      <c r="E355" s="278">
        <v>0.15</v>
      </c>
      <c r="F355" s="278">
        <v>0.15</v>
      </c>
      <c r="G355" s="279">
        <v>0.15</v>
      </c>
    </row>
    <row r="356" spans="1:7">
      <c r="A356" s="288" t="s">
        <v>292</v>
      </c>
      <c r="B356" s="277" t="s">
        <v>2536</v>
      </c>
      <c r="C356" s="278">
        <v>0.15</v>
      </c>
      <c r="D356" s="278">
        <v>0.15</v>
      </c>
      <c r="E356" s="278">
        <v>0.15</v>
      </c>
      <c r="F356" s="278">
        <v>0.15</v>
      </c>
      <c r="G356" s="279">
        <v>0.15</v>
      </c>
    </row>
    <row r="357" ht="14.75" spans="1:7">
      <c r="A357" s="291" t="s">
        <v>292</v>
      </c>
      <c r="B357" s="281" t="s">
        <v>2543</v>
      </c>
      <c r="C357" s="282">
        <v>0.126</v>
      </c>
      <c r="D357" s="282">
        <v>0.127</v>
      </c>
      <c r="E357" s="282">
        <v>0.143</v>
      </c>
      <c r="F357" s="282">
        <v>0.125</v>
      </c>
      <c r="G357" s="284">
        <v>0.129</v>
      </c>
    </row>
    <row r="358" spans="1:7">
      <c r="A358" s="287" t="s">
        <v>296</v>
      </c>
      <c r="B358" s="273" t="s">
        <v>2258</v>
      </c>
      <c r="C358" s="274">
        <v>0.15</v>
      </c>
      <c r="D358" s="274">
        <v>0.15</v>
      </c>
      <c r="E358" s="274">
        <v>0.15</v>
      </c>
      <c r="F358" s="274">
        <v>0.15</v>
      </c>
      <c r="G358" s="275">
        <v>0.15</v>
      </c>
    </row>
    <row r="359" spans="1:7">
      <c r="A359" s="288" t="s">
        <v>296</v>
      </c>
      <c r="B359" s="277" t="s">
        <v>2271</v>
      </c>
      <c r="C359" s="278">
        <v>0.1</v>
      </c>
      <c r="D359" s="278">
        <v>0.1</v>
      </c>
      <c r="E359" s="278">
        <v>0.1</v>
      </c>
      <c r="F359" s="278">
        <v>0.1</v>
      </c>
      <c r="G359" s="279">
        <v>0.1</v>
      </c>
    </row>
    <row r="360" spans="1:7">
      <c r="A360" s="288" t="s">
        <v>296</v>
      </c>
      <c r="B360" s="277" t="s">
        <v>2285</v>
      </c>
      <c r="C360" s="278">
        <v>0.15</v>
      </c>
      <c r="D360" s="278">
        <v>0.15</v>
      </c>
      <c r="E360" s="278">
        <v>0.15</v>
      </c>
      <c r="F360" s="278">
        <v>0.149</v>
      </c>
      <c r="G360" s="279">
        <v>0.15</v>
      </c>
    </row>
    <row r="361" spans="1:7">
      <c r="A361" s="288" t="s">
        <v>296</v>
      </c>
      <c r="B361" s="277" t="s">
        <v>2297</v>
      </c>
      <c r="C361" s="278">
        <v>0.15</v>
      </c>
      <c r="D361" s="278">
        <v>0.15</v>
      </c>
      <c r="E361" s="278">
        <v>0.15</v>
      </c>
      <c r="F361" s="278">
        <v>0.115</v>
      </c>
      <c r="G361" s="279">
        <v>0.15</v>
      </c>
    </row>
    <row r="362" spans="1:7">
      <c r="A362" s="288" t="s">
        <v>296</v>
      </c>
      <c r="B362" s="277" t="s">
        <v>2309</v>
      </c>
      <c r="C362" s="278">
        <v>0.15</v>
      </c>
      <c r="D362" s="278">
        <v>0.15</v>
      </c>
      <c r="E362" s="278">
        <v>0.15</v>
      </c>
      <c r="F362" s="278">
        <v>0.106</v>
      </c>
      <c r="G362" s="279">
        <v>0.15</v>
      </c>
    </row>
    <row r="363" spans="1:7">
      <c r="A363" s="288" t="s">
        <v>296</v>
      </c>
      <c r="B363" s="277" t="s">
        <v>2320</v>
      </c>
      <c r="C363" s="278">
        <v>0.15</v>
      </c>
      <c r="D363" s="278">
        <v>0.15</v>
      </c>
      <c r="E363" s="278">
        <v>0.15</v>
      </c>
      <c r="F363" s="278">
        <v>0.147</v>
      </c>
      <c r="G363" s="279">
        <v>0.15</v>
      </c>
    </row>
    <row r="364" spans="1:7">
      <c r="A364" s="288" t="s">
        <v>296</v>
      </c>
      <c r="B364" s="277" t="s">
        <v>2331</v>
      </c>
      <c r="C364" s="278">
        <v>0.15</v>
      </c>
      <c r="D364" s="278">
        <v>0.15</v>
      </c>
      <c r="E364" s="278">
        <v>0.15</v>
      </c>
      <c r="F364" s="278">
        <v>0.148</v>
      </c>
      <c r="G364" s="279">
        <v>0.15</v>
      </c>
    </row>
    <row r="365" spans="1:7">
      <c r="A365" s="288" t="s">
        <v>296</v>
      </c>
      <c r="B365" s="277" t="s">
        <v>2342</v>
      </c>
      <c r="C365" s="278">
        <v>0.15</v>
      </c>
      <c r="D365" s="278">
        <v>0.15</v>
      </c>
      <c r="E365" s="278">
        <v>0.15</v>
      </c>
      <c r="F365" s="278">
        <v>0.15</v>
      </c>
      <c r="G365" s="279">
        <v>0.15</v>
      </c>
    </row>
    <row r="366" spans="1:7">
      <c r="A366" s="288" t="s">
        <v>296</v>
      </c>
      <c r="B366" s="277" t="s">
        <v>2352</v>
      </c>
      <c r="C366" s="278">
        <v>0.15</v>
      </c>
      <c r="D366" s="278">
        <v>0.15</v>
      </c>
      <c r="E366" s="278">
        <v>0.15</v>
      </c>
      <c r="F366" s="278">
        <v>0.15</v>
      </c>
      <c r="G366" s="279">
        <v>0.15</v>
      </c>
    </row>
    <row r="367" spans="1:7">
      <c r="A367" s="288" t="s">
        <v>296</v>
      </c>
      <c r="B367" s="277" t="s">
        <v>2362</v>
      </c>
      <c r="C367" s="278">
        <v>0.15</v>
      </c>
      <c r="D367" s="278">
        <v>0.15</v>
      </c>
      <c r="E367" s="278">
        <v>0.15</v>
      </c>
      <c r="F367" s="278">
        <v>0.147</v>
      </c>
      <c r="G367" s="279">
        <v>0.15</v>
      </c>
    </row>
    <row r="368" spans="1:7">
      <c r="A368" s="288" t="s">
        <v>296</v>
      </c>
      <c r="B368" s="277" t="s">
        <v>2372</v>
      </c>
      <c r="C368" s="278">
        <v>0.15</v>
      </c>
      <c r="D368" s="278">
        <v>0.15</v>
      </c>
      <c r="E368" s="278">
        <v>0.15</v>
      </c>
      <c r="F368" s="278">
        <v>0.136</v>
      </c>
      <c r="G368" s="279">
        <v>0.15</v>
      </c>
    </row>
    <row r="369" spans="1:7">
      <c r="A369" s="288" t="s">
        <v>296</v>
      </c>
      <c r="B369" s="277" t="s">
        <v>2382</v>
      </c>
      <c r="C369" s="278">
        <v>0.15</v>
      </c>
      <c r="D369" s="278">
        <v>0.15</v>
      </c>
      <c r="E369" s="278">
        <v>0.15</v>
      </c>
      <c r="F369" s="278">
        <v>0.144</v>
      </c>
      <c r="G369" s="279">
        <v>0.15</v>
      </c>
    </row>
    <row r="370" spans="1:7">
      <c r="A370" s="288" t="s">
        <v>296</v>
      </c>
      <c r="B370" s="277" t="s">
        <v>2392</v>
      </c>
      <c r="C370" s="278">
        <v>0.15</v>
      </c>
      <c r="D370" s="278">
        <v>0.15</v>
      </c>
      <c r="E370" s="278">
        <v>0.15</v>
      </c>
      <c r="F370" s="278">
        <v>0.146</v>
      </c>
      <c r="G370" s="279">
        <v>0.15</v>
      </c>
    </row>
    <row r="371" spans="1:7">
      <c r="A371" s="288" t="s">
        <v>296</v>
      </c>
      <c r="B371" s="277" t="s">
        <v>2402</v>
      </c>
      <c r="C371" s="278">
        <v>0.15</v>
      </c>
      <c r="D371" s="278">
        <v>0.15</v>
      </c>
      <c r="E371" s="278">
        <v>0.15</v>
      </c>
      <c r="F371" s="278">
        <v>0.12</v>
      </c>
      <c r="G371" s="279">
        <v>0.15</v>
      </c>
    </row>
    <row r="372" spans="1:7">
      <c r="A372" s="288" t="s">
        <v>296</v>
      </c>
      <c r="B372" s="277" t="s">
        <v>2412</v>
      </c>
      <c r="C372" s="278">
        <v>0.15</v>
      </c>
      <c r="D372" s="278">
        <v>0.15</v>
      </c>
      <c r="E372" s="278">
        <v>0.15</v>
      </c>
      <c r="F372" s="278">
        <v>0.143</v>
      </c>
      <c r="G372" s="279">
        <v>0.15</v>
      </c>
    </row>
    <row r="373" spans="1:7">
      <c r="A373" s="288" t="s">
        <v>296</v>
      </c>
      <c r="B373" s="277" t="s">
        <v>2422</v>
      </c>
      <c r="C373" s="278">
        <v>0.15</v>
      </c>
      <c r="D373" s="278">
        <v>0.15</v>
      </c>
      <c r="E373" s="278">
        <v>0.15</v>
      </c>
      <c r="F373" s="278">
        <v>0.146</v>
      </c>
      <c r="G373" s="279">
        <v>0.15</v>
      </c>
    </row>
    <row r="374" spans="1:7">
      <c r="A374" s="288" t="s">
        <v>296</v>
      </c>
      <c r="B374" s="277" t="s">
        <v>2432</v>
      </c>
      <c r="C374" s="278">
        <v>0.15</v>
      </c>
      <c r="D374" s="278">
        <v>0.15</v>
      </c>
      <c r="E374" s="278">
        <v>0.15</v>
      </c>
      <c r="F374" s="278">
        <v>0.144</v>
      </c>
      <c r="G374" s="279">
        <v>0.15</v>
      </c>
    </row>
    <row r="375" spans="1:7">
      <c r="A375" s="288" t="s">
        <v>296</v>
      </c>
      <c r="B375" s="277" t="s">
        <v>2442</v>
      </c>
      <c r="C375" s="278">
        <v>0.15</v>
      </c>
      <c r="D375" s="278">
        <v>0.15</v>
      </c>
      <c r="E375" s="278">
        <v>0.15</v>
      </c>
      <c r="F375" s="278">
        <v>0.13</v>
      </c>
      <c r="G375" s="279">
        <v>0.15</v>
      </c>
    </row>
    <row r="376" spans="1:7">
      <c r="A376" s="288" t="s">
        <v>296</v>
      </c>
      <c r="B376" s="277" t="s">
        <v>2452</v>
      </c>
      <c r="C376" s="278">
        <v>0.15</v>
      </c>
      <c r="D376" s="278">
        <v>0.15</v>
      </c>
      <c r="E376" s="278">
        <v>0.15</v>
      </c>
      <c r="F376" s="278">
        <v>0.142</v>
      </c>
      <c r="G376" s="279">
        <v>0.15</v>
      </c>
    </row>
    <row r="377" ht="14.75" spans="1:7">
      <c r="A377" s="291" t="s">
        <v>296</v>
      </c>
      <c r="B377" s="281" t="s">
        <v>2462</v>
      </c>
      <c r="C377" s="282">
        <v>0.15</v>
      </c>
      <c r="D377" s="282">
        <v>0.15</v>
      </c>
      <c r="E377" s="282">
        <v>0.15</v>
      </c>
      <c r="F377" s="282">
        <v>0.14</v>
      </c>
      <c r="G377" s="284">
        <v>0.15</v>
      </c>
    </row>
    <row r="378" spans="1:7">
      <c r="A378" s="287" t="s">
        <v>300</v>
      </c>
      <c r="B378" s="273" t="s">
        <v>2259</v>
      </c>
      <c r="C378" s="274">
        <v>0.15</v>
      </c>
      <c r="D378" s="274">
        <v>0.15</v>
      </c>
      <c r="E378" s="274">
        <v>0.15</v>
      </c>
      <c r="F378" s="274">
        <v>0.107</v>
      </c>
      <c r="G378" s="275">
        <v>0.15</v>
      </c>
    </row>
    <row r="379" spans="1:7">
      <c r="A379" s="288" t="s">
        <v>300</v>
      </c>
      <c r="B379" s="277" t="s">
        <v>2272</v>
      </c>
      <c r="C379" s="278">
        <v>0.15</v>
      </c>
      <c r="D379" s="278">
        <v>0.15</v>
      </c>
      <c r="E379" s="278">
        <v>0.15</v>
      </c>
      <c r="F379" s="278">
        <v>0.115</v>
      </c>
      <c r="G379" s="279">
        <v>0.149</v>
      </c>
    </row>
    <row r="380" spans="1:7">
      <c r="A380" s="288" t="s">
        <v>300</v>
      </c>
      <c r="B380" s="277" t="s">
        <v>2286</v>
      </c>
      <c r="C380" s="278">
        <v>0.15</v>
      </c>
      <c r="D380" s="278">
        <v>0.15</v>
      </c>
      <c r="E380" s="278">
        <v>0.15</v>
      </c>
      <c r="F380" s="278">
        <v>0.1</v>
      </c>
      <c r="G380" s="279">
        <v>0.148</v>
      </c>
    </row>
    <row r="381" spans="1:7">
      <c r="A381" s="288" t="s">
        <v>300</v>
      </c>
      <c r="B381" s="277" t="s">
        <v>2298</v>
      </c>
      <c r="C381" s="278">
        <v>0.15</v>
      </c>
      <c r="D381" s="278">
        <v>0.15</v>
      </c>
      <c r="E381" s="278">
        <v>0.15</v>
      </c>
      <c r="F381" s="278">
        <v>0.126</v>
      </c>
      <c r="G381" s="279">
        <v>0.15</v>
      </c>
    </row>
    <row r="382" spans="1:7">
      <c r="A382" s="288" t="s">
        <v>300</v>
      </c>
      <c r="B382" s="277" t="s">
        <v>2310</v>
      </c>
      <c r="C382" s="278">
        <v>0.15</v>
      </c>
      <c r="D382" s="278">
        <v>0.15</v>
      </c>
      <c r="E382" s="278">
        <v>0.15</v>
      </c>
      <c r="F382" s="278">
        <v>0.15</v>
      </c>
      <c r="G382" s="279">
        <v>0.15</v>
      </c>
    </row>
    <row r="383" spans="1:7">
      <c r="A383" s="288" t="s">
        <v>300</v>
      </c>
      <c r="B383" s="277" t="s">
        <v>2321</v>
      </c>
      <c r="C383" s="278">
        <v>0.15</v>
      </c>
      <c r="D383" s="278">
        <v>0.15</v>
      </c>
      <c r="E383" s="278">
        <v>0.15</v>
      </c>
      <c r="F383" s="278">
        <v>0.147</v>
      </c>
      <c r="G383" s="279">
        <v>0.15</v>
      </c>
    </row>
    <row r="384" ht="14.75" spans="1:7">
      <c r="A384" s="298" t="s">
        <v>300</v>
      </c>
      <c r="B384" s="299" t="s">
        <v>2332</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1144.97</v>
      </c>
      <c r="C4" s="3330">
        <f>项目基本情况!C18</f>
        <v>0</v>
      </c>
      <c r="D4" s="3330" t="e">
        <f ca="1">结果表!D118</f>
        <v>#REF!</v>
      </c>
      <c r="E4" s="3330" t="e">
        <f ca="1">结果表!E118</f>
        <v>#REF!</v>
      </c>
      <c r="F4" s="3330" t="e">
        <f ca="1">结果表!F118</f>
        <v>#REF!</v>
      </c>
      <c r="G4" s="3330" t="e">
        <f ca="1">结果表!G118</f>
        <v>#REF!</v>
      </c>
      <c r="H4" s="3330">
        <f ca="1">结果表!H118</f>
        <v>1120</v>
      </c>
      <c r="I4" s="3330">
        <f ca="1">结果表!I118</f>
        <v>9783</v>
      </c>
    </row>
    <row r="5" ht="30" customHeight="1" spans="1:9">
      <c r="A5" s="3330" t="s">
        <v>112</v>
      </c>
      <c r="B5" s="3330"/>
      <c r="C5" s="3330"/>
      <c r="D5" s="3330" t="e">
        <f ca="1">结果表!D119</f>
        <v>#REF!</v>
      </c>
      <c r="E5" s="3330"/>
      <c r="F5" s="3330" t="e">
        <f ca="1">结果表!F119</f>
        <v>#REF!</v>
      </c>
      <c r="G5" s="3330"/>
      <c r="H5" s="3330" t="str">
        <f ca="1">结果表!H119</f>
        <v>壹仟壹佰贰拾万元整</v>
      </c>
      <c r="I5" s="3330"/>
    </row>
    <row r="6" ht="15.5" spans="1:9">
      <c r="A6" s="3332" t="str">
        <f>结果表!A120</f>
        <v>估价师知悉的法定优先受偿款</v>
      </c>
      <c r="B6" s="3332"/>
      <c r="C6" s="3332"/>
      <c r="D6" s="3332">
        <f>结果表!D120</f>
        <v>0</v>
      </c>
      <c r="E6" s="3332"/>
      <c r="F6" s="3332"/>
      <c r="G6" s="3332"/>
      <c r="H6" s="3332"/>
      <c r="I6" s="3332"/>
    </row>
    <row r="7" ht="15.5" spans="1:9">
      <c r="A7" s="3330" t="s">
        <v>112</v>
      </c>
      <c r="B7" s="3330"/>
      <c r="C7" s="3330"/>
      <c r="D7" s="3333" t="str">
        <f>结果表!D121</f>
        <v>零元整</v>
      </c>
      <c r="E7" s="3334"/>
      <c r="F7" s="3334"/>
      <c r="G7" s="3334"/>
      <c r="H7" s="3334"/>
      <c r="I7" s="3338"/>
    </row>
    <row r="8" ht="15.5" spans="1:9">
      <c r="A8" s="3332" t="str">
        <f>结果表!A122</f>
        <v>房地产抵押价值</v>
      </c>
      <c r="B8" s="3332"/>
      <c r="C8" s="3332"/>
      <c r="D8" s="3332">
        <f ca="1">结果表!D122</f>
        <v>1120</v>
      </c>
      <c r="E8" s="3332"/>
      <c r="F8" s="3332"/>
      <c r="G8" s="3332"/>
      <c r="H8" s="3332"/>
      <c r="I8" s="3332"/>
    </row>
    <row r="9" ht="15.5" spans="1:9">
      <c r="A9" s="3330" t="s">
        <v>112</v>
      </c>
      <c r="B9" s="3330"/>
      <c r="C9" s="3330"/>
      <c r="D9" s="3330" t="str">
        <f ca="1">结果表!D123</f>
        <v>壹仟壹佰贰拾万元整</v>
      </c>
      <c r="E9" s="3330"/>
      <c r="F9" s="3330"/>
      <c r="G9" s="3330"/>
      <c r="H9" s="3330"/>
      <c r="I9" s="3330"/>
    </row>
    <row r="10" ht="15.5" spans="1:9">
      <c r="A10" s="3332" t="str">
        <f>结果表!A124</f>
        <v/>
      </c>
      <c r="B10" s="3332"/>
      <c r="C10" s="3332"/>
      <c r="D10" s="3332" t="str">
        <f ca="1">结果表!D124</f>
        <v>——</v>
      </c>
      <c r="E10" s="3332"/>
      <c r="F10" s="3332"/>
      <c r="G10" s="3332"/>
      <c r="H10" s="3332"/>
      <c r="I10" s="3332"/>
    </row>
    <row r="11" ht="15.5" spans="1:9">
      <c r="A11" s="3330" t="s">
        <v>112</v>
      </c>
      <c r="B11" s="3330"/>
      <c r="C11" s="3330"/>
      <c r="D11" s="3330" t="e">
        <f ca="1">结果表!D125</f>
        <v>#VALUE!</v>
      </c>
      <c r="E11" s="3330"/>
      <c r="F11" s="3330"/>
      <c r="G11" s="3330"/>
      <c r="H11" s="3330"/>
      <c r="I11" s="3330"/>
    </row>
    <row r="12" ht="15.5" spans="1:9">
      <c r="A12" s="3332" t="str">
        <f>结果表!A126</f>
        <v>抵押净值</v>
      </c>
      <c r="B12" s="3332"/>
      <c r="C12" s="3332"/>
      <c r="D12" s="3332">
        <f ca="1">结果表!D126</f>
        <v>413</v>
      </c>
      <c r="E12" s="3332"/>
      <c r="F12" s="3332"/>
      <c r="G12" s="3332"/>
      <c r="H12" s="3332"/>
      <c r="I12" s="3332"/>
    </row>
    <row r="13" ht="16.25" spans="1:9">
      <c r="A13" s="3335" t="s">
        <v>112</v>
      </c>
      <c r="B13" s="3335"/>
      <c r="C13" s="3335"/>
      <c r="D13" s="3335" t="str">
        <f ca="1">结果表!D127</f>
        <v>肆佰壹拾叁万元整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2635</v>
      </c>
      <c r="B1" s="259"/>
      <c r="C1" s="259"/>
      <c r="D1" s="259"/>
      <c r="E1" s="259"/>
      <c r="F1" s="260"/>
    </row>
    <row r="2" spans="1:1">
      <c r="A2" s="261" t="s">
        <v>2636</v>
      </c>
    </row>
    <row r="3" spans="1:6">
      <c r="A3" s="261" t="s">
        <v>2637</v>
      </c>
      <c r="F3" s="262" t="s">
        <v>2638</v>
      </c>
    </row>
    <row r="4" spans="1:6">
      <c r="A4" s="263" t="s">
        <v>422</v>
      </c>
      <c r="B4" s="263" t="s">
        <v>675</v>
      </c>
      <c r="C4" s="263" t="s">
        <v>573</v>
      </c>
      <c r="D4" s="263" t="s">
        <v>2639</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2640</v>
      </c>
      <c r="C1" s="205"/>
      <c r="D1" s="205"/>
      <c r="E1" s="205"/>
      <c r="F1" s="205"/>
      <c r="G1" s="205"/>
      <c r="H1" s="205"/>
      <c r="I1" s="205"/>
      <c r="J1" s="223"/>
      <c r="K1" s="205" t="s">
        <v>2641</v>
      </c>
      <c r="L1" s="205"/>
      <c r="M1" s="205"/>
      <c r="N1" s="205"/>
      <c r="O1" s="205"/>
      <c r="P1" s="205"/>
      <c r="Q1" s="223"/>
      <c r="R1" s="149" t="s">
        <v>2642</v>
      </c>
      <c r="S1" s="71"/>
      <c r="T1" s="71"/>
      <c r="U1" s="71"/>
      <c r="V1" s="71"/>
      <c r="W1" s="71"/>
      <c r="X1" s="223"/>
      <c r="Y1" s="149" t="s">
        <v>2643</v>
      </c>
      <c r="Z1" s="71"/>
      <c r="AA1" s="71"/>
      <c r="AB1" s="71"/>
      <c r="AC1" s="71"/>
      <c r="AD1" s="71"/>
    </row>
    <row r="2" s="72" customFormat="1" ht="14.75" spans="2:30">
      <c r="B2" s="206"/>
      <c r="C2" s="207"/>
      <c r="D2" s="82" t="s">
        <v>2644</v>
      </c>
      <c r="E2" s="83" t="s">
        <v>675</v>
      </c>
      <c r="F2" s="83" t="s">
        <v>573</v>
      </c>
      <c r="G2" s="83" t="s">
        <v>430</v>
      </c>
      <c r="H2" s="83" t="s">
        <v>426</v>
      </c>
      <c r="I2" s="83" t="s">
        <v>280</v>
      </c>
      <c r="J2" s="224"/>
      <c r="K2" s="82" t="s">
        <v>2644</v>
      </c>
      <c r="L2" s="83" t="s">
        <v>675</v>
      </c>
      <c r="M2" s="83" t="s">
        <v>573</v>
      </c>
      <c r="N2" s="83" t="s">
        <v>430</v>
      </c>
      <c r="O2" s="83" t="s">
        <v>426</v>
      </c>
      <c r="P2" s="83" t="s">
        <v>280</v>
      </c>
      <c r="Q2" s="224"/>
      <c r="R2" s="82" t="s">
        <v>2644</v>
      </c>
      <c r="S2" s="83" t="s">
        <v>675</v>
      </c>
      <c r="T2" s="83" t="s">
        <v>573</v>
      </c>
      <c r="U2" s="83" t="s">
        <v>430</v>
      </c>
      <c r="V2" s="83" t="s">
        <v>426</v>
      </c>
      <c r="W2" s="83" t="s">
        <v>280</v>
      </c>
      <c r="X2" s="224"/>
      <c r="Y2" s="82" t="s">
        <v>2644</v>
      </c>
      <c r="Z2" s="83" t="s">
        <v>675</v>
      </c>
      <c r="AA2" s="83" t="s">
        <v>573</v>
      </c>
      <c r="AB2" s="83" t="s">
        <v>430</v>
      </c>
      <c r="AC2" s="83" t="s">
        <v>426</v>
      </c>
      <c r="AD2" s="83" t="s">
        <v>280</v>
      </c>
    </row>
    <row r="3" s="200" customFormat="1" ht="13" spans="1:30">
      <c r="A3" s="208" t="s">
        <v>2645</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2646</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2647</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2648</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2649</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2650</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2651</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2652</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2653</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2654</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2655</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2656</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2657</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2658</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2659</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2660</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2661</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2662</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2663</v>
      </c>
    </row>
    <row r="24" spans="9:9">
      <c r="I24" t="s">
        <v>1569</v>
      </c>
    </row>
    <row r="26" s="71" customFormat="1" ht="13" spans="2:25">
      <c r="B26" s="204" t="s">
        <v>2664</v>
      </c>
      <c r="C26" s="205"/>
      <c r="D26" s="205"/>
      <c r="E26" s="205"/>
      <c r="F26" s="205"/>
      <c r="G26" s="205"/>
      <c r="H26" s="205"/>
      <c r="I26" s="205"/>
      <c r="J26" s="223"/>
      <c r="K26" s="205" t="s">
        <v>2641</v>
      </c>
      <c r="L26" s="205"/>
      <c r="M26" s="205"/>
      <c r="N26" s="205"/>
      <c r="O26" s="205"/>
      <c r="P26" s="205"/>
      <c r="Q26" s="223"/>
      <c r="R26" s="149" t="s">
        <v>2642</v>
      </c>
      <c r="X26" s="223"/>
      <c r="Y26" s="149" t="s">
        <v>2643</v>
      </c>
    </row>
    <row r="27" s="72" customFormat="1" ht="14.75" spans="2:30">
      <c r="B27" s="206"/>
      <c r="C27" s="207"/>
      <c r="D27" s="82" t="s">
        <v>2644</v>
      </c>
      <c r="E27" s="83" t="s">
        <v>675</v>
      </c>
      <c r="F27" s="83" t="s">
        <v>573</v>
      </c>
      <c r="G27" s="83" t="s">
        <v>430</v>
      </c>
      <c r="H27" s="83"/>
      <c r="I27" s="83" t="s">
        <v>280</v>
      </c>
      <c r="J27" s="224"/>
      <c r="K27" s="82" t="s">
        <v>2644</v>
      </c>
      <c r="L27" s="83" t="s">
        <v>675</v>
      </c>
      <c r="M27" s="83" t="s">
        <v>573</v>
      </c>
      <c r="N27" s="83" t="s">
        <v>430</v>
      </c>
      <c r="O27" s="83"/>
      <c r="P27" s="83" t="s">
        <v>280</v>
      </c>
      <c r="Q27" s="224"/>
      <c r="R27" s="82" t="s">
        <v>2644</v>
      </c>
      <c r="S27" s="83" t="s">
        <v>675</v>
      </c>
      <c r="T27" s="83" t="s">
        <v>573</v>
      </c>
      <c r="U27" s="83" t="s">
        <v>430</v>
      </c>
      <c r="V27" s="83"/>
      <c r="W27" s="83" t="s">
        <v>280</v>
      </c>
      <c r="X27" s="224"/>
      <c r="Y27" s="82" t="s">
        <v>2644</v>
      </c>
      <c r="Z27" s="83" t="s">
        <v>675</v>
      </c>
      <c r="AA27" s="83" t="s">
        <v>573</v>
      </c>
      <c r="AB27" s="83" t="s">
        <v>430</v>
      </c>
      <c r="AC27" s="83"/>
      <c r="AD27" s="83" t="s">
        <v>280</v>
      </c>
    </row>
    <row r="28" s="200" customFormat="1" ht="13" spans="1:30">
      <c r="A28" s="208" t="s">
        <v>2645</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2646</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2647</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2648</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2649</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2650</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2651</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2652</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2653</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2654</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2655</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2656</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2657</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2658</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2659</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2660</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2661</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2662</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2665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2666</v>
      </c>
      <c r="C1" s="81"/>
      <c r="D1" s="81"/>
      <c r="E1" s="81"/>
      <c r="F1" s="81"/>
      <c r="G1" s="71" t="s">
        <v>2667</v>
      </c>
      <c r="N1" s="71" t="s">
        <v>2641</v>
      </c>
      <c r="S1" s="71" t="s">
        <v>2668</v>
      </c>
      <c r="X1" s="149" t="s">
        <v>2642</v>
      </c>
      <c r="AD1" s="149" t="s">
        <v>2643</v>
      </c>
    </row>
    <row r="2" s="72" customFormat="1" ht="14.75" spans="2:34">
      <c r="B2" s="82" t="s">
        <v>2669</v>
      </c>
      <c r="C2" s="82" t="s">
        <v>2670</v>
      </c>
      <c r="D2" s="83" t="s">
        <v>573</v>
      </c>
      <c r="E2" s="83" t="s">
        <v>430</v>
      </c>
      <c r="F2" s="82" t="s">
        <v>2671</v>
      </c>
      <c r="G2" s="84"/>
      <c r="I2" s="82" t="s">
        <v>2669</v>
      </c>
      <c r="J2" s="83" t="s">
        <v>1932</v>
      </c>
      <c r="K2" s="83" t="s">
        <v>430</v>
      </c>
      <c r="L2" s="82" t="s">
        <v>2671</v>
      </c>
      <c r="N2" s="82" t="s">
        <v>2669</v>
      </c>
      <c r="O2" s="83" t="s">
        <v>1932</v>
      </c>
      <c r="P2" s="83" t="s">
        <v>430</v>
      </c>
      <c r="Q2" s="82" t="s">
        <v>2671</v>
      </c>
      <c r="S2" s="82" t="s">
        <v>2669</v>
      </c>
      <c r="T2" s="83" t="s">
        <v>1932</v>
      </c>
      <c r="U2" s="83" t="s">
        <v>430</v>
      </c>
      <c r="V2" s="82" t="s">
        <v>2671</v>
      </c>
      <c r="X2" s="82" t="s">
        <v>2669</v>
      </c>
      <c r="Y2" s="82" t="s">
        <v>2670</v>
      </c>
      <c r="Z2" s="83" t="s">
        <v>573</v>
      </c>
      <c r="AA2" s="83" t="s">
        <v>430</v>
      </c>
      <c r="AB2" s="82" t="s">
        <v>2671</v>
      </c>
      <c r="AD2" s="82" t="s">
        <v>2669</v>
      </c>
      <c r="AE2" s="82" t="s">
        <v>2670</v>
      </c>
      <c r="AF2" s="83" t="s">
        <v>573</v>
      </c>
      <c r="AG2" s="83" t="s">
        <v>430</v>
      </c>
      <c r="AH2" s="82" t="s">
        <v>2671</v>
      </c>
    </row>
    <row r="3" s="73" customFormat="1" ht="14" spans="1:34">
      <c r="A3" s="85" t="s">
        <v>2645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2655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2656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2672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2657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2658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2659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2660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2661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2662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2673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2674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2675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2676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2677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2678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2679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2680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2681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2682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2683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2684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2685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2686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2687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2688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2689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2690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2691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2692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2693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2694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2695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2696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2697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2698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2699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2700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2701</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2702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2703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2704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2705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2706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2707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2708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2709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2710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2711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2712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2713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2714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2715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2716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2717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2718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2719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2720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2721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2722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2723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2724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2725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2726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2727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2728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2729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2730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2731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2732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2733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2734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2735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2736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2737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2738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2739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2740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2741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2742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2743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2744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2745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2746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2747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2748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2749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2750</v>
      </c>
      <c r="G91" s="179"/>
      <c r="N91" s="179"/>
      <c r="S91" s="179"/>
    </row>
    <row r="92" s="78" customFormat="1" ht="13" spans="1:19">
      <c r="A92" s="78" t="s">
        <v>2751</v>
      </c>
      <c r="G92" s="179"/>
      <c r="N92" s="179"/>
      <c r="S92" s="179"/>
    </row>
    <row r="93" s="78" customFormat="1" ht="13" spans="1:22">
      <c r="A93" s="78" t="s">
        <v>2752</v>
      </c>
      <c r="G93" s="179"/>
      <c r="I93" s="191"/>
      <c r="J93" s="191"/>
      <c r="K93" s="191"/>
      <c r="L93" s="191"/>
      <c r="N93" s="192"/>
      <c r="O93" s="191"/>
      <c r="P93" s="191"/>
      <c r="Q93" s="191"/>
      <c r="S93" s="192"/>
      <c r="T93" s="191"/>
      <c r="U93" s="191"/>
      <c r="V93" s="191"/>
    </row>
    <row r="94" s="78" customFormat="1" ht="13" spans="1:19">
      <c r="A94" s="78" t="s">
        <v>2753</v>
      </c>
      <c r="G94" s="179"/>
      <c r="N94" s="179"/>
      <c r="S94" s="179"/>
    </row>
    <row r="101" ht="13.25"/>
    <row r="102" ht="13" spans="7:22">
      <c r="G102" s="79"/>
      <c r="S102" s="196" t="s">
        <v>2754</v>
      </c>
      <c r="T102" s="108" t="s">
        <v>2755</v>
      </c>
      <c r="U102" s="108" t="s">
        <v>2756</v>
      </c>
      <c r="V102" s="108" t="s">
        <v>2757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2758</v>
      </c>
      <c r="E1" s="8">
        <f>'数据-取费表'!B22</f>
        <v>2</v>
      </c>
      <c r="F1" s="6" t="s">
        <v>2759</v>
      </c>
      <c r="G1" s="9">
        <f ca="1">INDIRECT("d"&amp;$K$1)/100</f>
        <v>0.031</v>
      </c>
      <c r="H1" s="6" t="s">
        <v>2760</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2759</v>
      </c>
      <c r="E2" s="10"/>
      <c r="F2" s="10" t="s">
        <v>2761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2762</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2763</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2764</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2765</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2766</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2767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2768</v>
      </c>
      <c r="C10" s="34"/>
      <c r="D10" s="34"/>
      <c r="E10" s="34"/>
      <c r="F10" s="34"/>
      <c r="G10" s="34"/>
      <c r="H10" s="34"/>
      <c r="I10" s="2"/>
      <c r="J10" s="2"/>
      <c r="K10" s="34"/>
      <c r="L10" s="35" t="s">
        <v>2769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2770</v>
      </c>
      <c r="C11" s="38" t="s">
        <v>2771</v>
      </c>
      <c r="D11" s="39" t="s">
        <v>2772</v>
      </c>
      <c r="E11" s="40"/>
      <c r="F11" s="39" t="s">
        <v>2773</v>
      </c>
      <c r="G11" s="41"/>
      <c r="H11" s="40"/>
      <c r="I11" s="39" t="s">
        <v>2774</v>
      </c>
      <c r="J11" s="40"/>
      <c r="K11" s="36"/>
      <c r="L11" s="37" t="s">
        <v>2770</v>
      </c>
      <c r="M11" s="38" t="s">
        <v>2771</v>
      </c>
      <c r="N11" s="37" t="s">
        <v>2775</v>
      </c>
      <c r="O11" s="39" t="s">
        <v>2776</v>
      </c>
      <c r="P11" s="41"/>
      <c r="Q11" s="41"/>
      <c r="R11" s="41"/>
      <c r="S11" s="41"/>
      <c r="T11" s="40"/>
      <c r="U11" s="39" t="s">
        <v>2777</v>
      </c>
      <c r="V11" s="41"/>
      <c r="W11" s="40"/>
      <c r="X11" s="37" t="s">
        <v>2778</v>
      </c>
      <c r="Y11" s="37" t="s">
        <v>2779</v>
      </c>
      <c r="Z11" s="37" t="s">
        <v>2780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2781</v>
      </c>
      <c r="E12" s="44" t="s">
        <v>2763</v>
      </c>
      <c r="F12" s="44" t="s">
        <v>2764</v>
      </c>
      <c r="G12" s="44" t="s">
        <v>2765</v>
      </c>
      <c r="H12" s="44" t="s">
        <v>2766</v>
      </c>
      <c r="I12" s="58" t="s">
        <v>2782</v>
      </c>
      <c r="J12" s="58" t="s">
        <v>2782</v>
      </c>
      <c r="K12" s="36"/>
      <c r="L12" s="42"/>
      <c r="M12" s="43"/>
      <c r="N12" s="42"/>
      <c r="O12" s="58" t="s">
        <v>2783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2784</v>
      </c>
      <c r="C13" s="47">
        <v>45586</v>
      </c>
      <c r="D13" s="48">
        <v>3.1</v>
      </c>
      <c r="E13" s="48">
        <f>D13</f>
        <v>3.1</v>
      </c>
      <c r="F13" s="48">
        <f>D13</f>
        <v>3.1</v>
      </c>
      <c r="G13" s="48">
        <f>D13</f>
        <v>3.1</v>
      </c>
      <c r="H13" s="48">
        <v>3.6</v>
      </c>
      <c r="I13" s="48"/>
      <c r="J13" s="48"/>
      <c r="K13" s="45"/>
      <c r="L13" s="46" t="s">
        <v>2784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2785</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2786</v>
      </c>
      <c r="Y42" s="50" t="s">
        <v>2786</v>
      </c>
      <c r="Z42" s="50" t="s">
        <v>2786</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2786</v>
      </c>
      <c r="Y43" s="50" t="s">
        <v>2786</v>
      </c>
      <c r="Z43" s="50" t="s">
        <v>2786</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2786</v>
      </c>
      <c r="Y44" s="50" t="s">
        <v>2786</v>
      </c>
      <c r="Z44" s="50" t="s">
        <v>2786</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2786</v>
      </c>
      <c r="Y45" s="50" t="s">
        <v>2786</v>
      </c>
      <c r="Z45" s="50" t="s">
        <v>2786</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2786</v>
      </c>
      <c r="Y46" s="50" t="s">
        <v>2786</v>
      </c>
      <c r="Z46" s="50" t="s">
        <v>2786</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2786</v>
      </c>
      <c r="Y47" s="50" t="s">
        <v>2786</v>
      </c>
      <c r="Z47" s="50" t="s">
        <v>2786</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2786</v>
      </c>
      <c r="Y48" s="50" t="s">
        <v>2786</v>
      </c>
      <c r="Z48" s="50" t="s">
        <v>2786</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2786</v>
      </c>
      <c r="Y49" s="50" t="s">
        <v>2786</v>
      </c>
      <c r="Z49" s="50" t="s">
        <v>2786</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2786</v>
      </c>
      <c r="Y50" s="50" t="s">
        <v>2786</v>
      </c>
      <c r="Z50" s="50" t="s">
        <v>2786</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2786</v>
      </c>
      <c r="V51" s="50" t="s">
        <v>2786</v>
      </c>
      <c r="W51" s="50" t="s">
        <v>2786</v>
      </c>
      <c r="X51" s="50" t="s">
        <v>2786</v>
      </c>
      <c r="Y51" s="50" t="s">
        <v>2786</v>
      </c>
      <c r="Z51" s="50" t="s">
        <v>2786</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2786</v>
      </c>
      <c r="J69" s="50" t="s">
        <v>2786</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45623</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2024-11-27T03:10:11Z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