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报告们\法院\2023-1-0495 北京市朝阳区朝阳北路107号院29号楼15层1503号\"/>
    </mc:Choice>
  </mc:AlternateContent>
  <xr:revisionPtr revIDLastSave="0" documentId="13_ncr:1_{183D5A7F-756C-4E9C-9587-C379F31D20A7}" xr6:coauthVersionLast="45" xr6:coauthVersionMax="45" xr10:uidLastSave="{00000000-0000-0000-0000-000000000000}"/>
  <bookViews>
    <workbookView xWindow="-120" yWindow="-120" windowWidth="21840" windowHeight="13140" tabRatio="899" firstSheet="9"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收益法 (元)" sheetId="67" r:id="rId23"/>
    <sheet name="收益法-酒店模型" sheetId="77" state="hidden" r:id="rId24"/>
    <sheet name="收益法（汇总）" sheetId="70" state="hidden" r:id="rId25"/>
    <sheet name="比较法-住宅" sheetId="21" r:id="rId26"/>
    <sheet name="Sheet1" sheetId="80"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基准地价修正" sheetId="43"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s>
  <externalReferences>
    <externalReference r:id="rId47"/>
    <externalReference r:id="rId48"/>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5"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6">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H59" i="21" l="1"/>
  <c r="G59" i="21"/>
  <c r="F59" i="21"/>
  <c r="C5" i="9" l="1"/>
  <c r="I44" i="21"/>
  <c r="E44" i="21"/>
  <c r="I37" i="21"/>
  <c r="G37" i="21"/>
  <c r="E37" i="21"/>
  <c r="I27" i="21" l="1"/>
  <c r="G27" i="21"/>
  <c r="E27" i="21"/>
  <c r="C27" i="21"/>
  <c r="C19" i="6"/>
  <c r="F19" i="6"/>
  <c r="G14" i="73" l="1"/>
  <c r="F14" i="73"/>
  <c r="E14" i="73"/>
  <c r="L26" i="79" l="1"/>
  <c r="M26" i="79"/>
  <c r="P26" i="79" s="1"/>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B34" i="79"/>
  <c r="AA34" i="79"/>
  <c r="Z34" i="79"/>
  <c r="N34" i="79"/>
  <c r="M34" i="79"/>
  <c r="L34" i="79"/>
  <c r="I34" i="79"/>
  <c r="AB33" i="79"/>
  <c r="AA33" i="79"/>
  <c r="Z33" i="79"/>
  <c r="N33" i="79"/>
  <c r="M33" i="79"/>
  <c r="L33" i="79"/>
  <c r="I33" i="79"/>
  <c r="AB32" i="79"/>
  <c r="AA32" i="79"/>
  <c r="Z32" i="79"/>
  <c r="N32" i="79"/>
  <c r="M32" i="79"/>
  <c r="L32" i="79"/>
  <c r="I32" i="79"/>
  <c r="AB31" i="79"/>
  <c r="AA31" i="79"/>
  <c r="Z31" i="79"/>
  <c r="N31" i="79"/>
  <c r="M31" i="79"/>
  <c r="L31" i="79"/>
  <c r="I31" i="79"/>
  <c r="AB30" i="79"/>
  <c r="AA30" i="79"/>
  <c r="Z30" i="79"/>
  <c r="N30" i="79"/>
  <c r="M30" i="79"/>
  <c r="L30" i="79"/>
  <c r="I30" i="79"/>
  <c r="AB29" i="79"/>
  <c r="AA29" i="79"/>
  <c r="AA23" i="79" s="1"/>
  <c r="AD23" i="79" s="1"/>
  <c r="Z29" i="79"/>
  <c r="N29" i="79"/>
  <c r="M29" i="79"/>
  <c r="L29" i="79"/>
  <c r="I29" i="79"/>
  <c r="AB25" i="79"/>
  <c r="AA25" i="79"/>
  <c r="Z25" i="79"/>
  <c r="N25" i="79"/>
  <c r="M25" i="79"/>
  <c r="M23" i="79" s="1"/>
  <c r="P23" i="79" s="1"/>
  <c r="L25" i="79"/>
  <c r="I25" i="79"/>
  <c r="AD25" i="79" s="1"/>
  <c r="N23" i="79"/>
  <c r="L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M14" i="79"/>
  <c r="T14" i="79" s="1"/>
  <c r="W14" i="79" s="1"/>
  <c r="L14" i="79"/>
  <c r="K14" i="79"/>
  <c r="R14" i="79" s="1"/>
  <c r="I14" i="79"/>
  <c r="AC13" i="79"/>
  <c r="AB13" i="79"/>
  <c r="AA13" i="79"/>
  <c r="AD13" i="79" s="1"/>
  <c r="Z13" i="79"/>
  <c r="Y13" i="79"/>
  <c r="O13" i="79"/>
  <c r="N13" i="79"/>
  <c r="U13" i="79" s="1"/>
  <c r="M13" i="79"/>
  <c r="P13" i="79" s="1"/>
  <c r="L13" i="79"/>
  <c r="S13" i="79" s="1"/>
  <c r="K13" i="79"/>
  <c r="I13" i="79"/>
  <c r="AC12" i="79"/>
  <c r="AB12" i="79"/>
  <c r="AA12" i="79"/>
  <c r="AD12" i="79" s="1"/>
  <c r="Z12" i="79"/>
  <c r="Y12" i="79"/>
  <c r="O12" i="79"/>
  <c r="V12" i="79" s="1"/>
  <c r="N12" i="79"/>
  <c r="M12" i="79"/>
  <c r="T12" i="79" s="1"/>
  <c r="W12" i="79" s="1"/>
  <c r="L12" i="79"/>
  <c r="K12" i="79"/>
  <c r="R12" i="79" s="1"/>
  <c r="I12" i="79"/>
  <c r="AC11" i="79"/>
  <c r="AB11" i="79"/>
  <c r="AA11" i="79"/>
  <c r="AD11" i="79" s="1"/>
  <c r="Z11" i="79"/>
  <c r="Y11" i="79"/>
  <c r="O11" i="79"/>
  <c r="N11" i="79"/>
  <c r="U11" i="79" s="1"/>
  <c r="M11" i="79"/>
  <c r="P11" i="79" s="1"/>
  <c r="L11" i="79"/>
  <c r="S11" i="79" s="1"/>
  <c r="K11" i="79"/>
  <c r="I11" i="79"/>
  <c r="AC10" i="79"/>
  <c r="AB10" i="79"/>
  <c r="AA10" i="79"/>
  <c r="AD10" i="79" s="1"/>
  <c r="Z10" i="79"/>
  <c r="Y10" i="79"/>
  <c r="O10" i="79"/>
  <c r="V10" i="79" s="1"/>
  <c r="N10" i="79"/>
  <c r="M10" i="79"/>
  <c r="T10" i="79" s="1"/>
  <c r="W10" i="79" s="1"/>
  <c r="L10" i="79"/>
  <c r="K10" i="79"/>
  <c r="R10" i="79" s="1"/>
  <c r="I10" i="79"/>
  <c r="AC9" i="79"/>
  <c r="AC3" i="79" s="1"/>
  <c r="AB9" i="79"/>
  <c r="AA9" i="79"/>
  <c r="AD9" i="79" s="1"/>
  <c r="Z9" i="79"/>
  <c r="Y9" i="79"/>
  <c r="Y3" i="79" s="1"/>
  <c r="O9" i="79"/>
  <c r="N9" i="79"/>
  <c r="M9" i="79"/>
  <c r="L9" i="79"/>
  <c r="K9" i="79"/>
  <c r="I9" i="79"/>
  <c r="AC5" i="79"/>
  <c r="AB5" i="79"/>
  <c r="AA5" i="79"/>
  <c r="AD5" i="79" s="1"/>
  <c r="Z5" i="79"/>
  <c r="Y5" i="79"/>
  <c r="P5" i="79"/>
  <c r="O5" i="79"/>
  <c r="N5" i="79"/>
  <c r="U3" i="79" s="1"/>
  <c r="M5" i="79"/>
  <c r="L5" i="79"/>
  <c r="S3" i="79" s="1"/>
  <c r="K5" i="79"/>
  <c r="I5" i="79"/>
  <c r="AB3" i="79"/>
  <c r="Z3" i="79"/>
  <c r="V3" i="79"/>
  <c r="T3" i="79"/>
  <c r="W3" i="79" s="1"/>
  <c r="O3" i="79"/>
  <c r="M3" i="79"/>
  <c r="P3" i="79" s="1"/>
  <c r="K3" i="79"/>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L3" i="79" l="1"/>
  <c r="N3" i="79"/>
  <c r="AA3" i="79"/>
  <c r="AD3" i="79" s="1"/>
  <c r="S10" i="79"/>
  <c r="U10" i="79"/>
  <c r="R11" i="79"/>
  <c r="V11" i="79"/>
  <c r="S12" i="79"/>
  <c r="U12" i="79"/>
  <c r="R13" i="79"/>
  <c r="V13" i="79"/>
  <c r="S14" i="79"/>
  <c r="U14" i="79"/>
  <c r="U23" i="79"/>
  <c r="AD29" i="79"/>
  <c r="T23" i="79"/>
  <c r="W23" i="79" s="1"/>
  <c r="S30" i="79"/>
  <c r="U30" i="79"/>
  <c r="AD31" i="79"/>
  <c r="T31" i="79"/>
  <c r="W31" i="79" s="1"/>
  <c r="S32" i="79"/>
  <c r="U32" i="79"/>
  <c r="AD33" i="79"/>
  <c r="T33" i="79"/>
  <c r="W33" i="79" s="1"/>
  <c r="S34" i="79"/>
  <c r="U34" i="79"/>
  <c r="AD35" i="79"/>
  <c r="AD30" i="79"/>
  <c r="S31" i="79"/>
  <c r="U31" i="79"/>
  <c r="AD32" i="79"/>
  <c r="T32" i="79"/>
  <c r="W32" i="79" s="1"/>
  <c r="S33" i="79"/>
  <c r="U33" i="79"/>
  <c r="AD34" i="79"/>
  <c r="T34" i="79"/>
  <c r="W34" i="79" s="1"/>
  <c r="T26" i="79"/>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s="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A20" i="51"/>
  <c r="A15" i="62"/>
  <c r="A14" i="62"/>
  <c r="A13" i="62"/>
  <c r="B59" i="72" s="1"/>
  <c r="A19" i="62"/>
  <c r="B65" i="72" s="1"/>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A18" i="51"/>
  <c r="B13" i="72" s="1"/>
  <c r="C8" i="68"/>
  <c r="B49" i="48"/>
  <c r="B5" i="72" s="1"/>
  <c r="D89" i="71"/>
  <c r="F88" i="71"/>
  <c r="F87" i="71" s="1"/>
  <c r="F86" i="71" s="1"/>
  <c r="E88" i="71"/>
  <c r="E87" i="71" s="1"/>
  <c r="E86" i="71" s="1"/>
  <c r="C88" i="71"/>
  <c r="D88" i="71" s="1"/>
  <c r="B88" i="71"/>
  <c r="B87" i="71" s="1"/>
  <c r="B86" i="71"/>
  <c r="D85" i="71"/>
  <c r="F84" i="71"/>
  <c r="F83" i="71" s="1"/>
  <c r="F82" i="71" s="1"/>
  <c r="E84" i="71"/>
  <c r="E83" i="71"/>
  <c r="E82" i="71" s="1"/>
  <c r="C84" i="71"/>
  <c r="D84" i="71" s="1"/>
  <c r="B84" i="71"/>
  <c r="B83" i="71" s="1"/>
  <c r="B82" i="71" s="1"/>
  <c r="D81" i="71"/>
  <c r="Q80" i="71"/>
  <c r="P80" i="71"/>
  <c r="O80" i="71"/>
  <c r="N80" i="71"/>
  <c r="F80" i="71"/>
  <c r="V80" i="71" s="1"/>
  <c r="E80" i="7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C72" i="71"/>
  <c r="T72" i="71" s="1"/>
  <c r="B72" i="71"/>
  <c r="S72" i="71" s="1"/>
  <c r="Q71" i="71"/>
  <c r="P71" i="71"/>
  <c r="O71" i="71"/>
  <c r="N71" i="71"/>
  <c r="F71" i="71"/>
  <c r="F70" i="71" s="1"/>
  <c r="B71" i="71"/>
  <c r="B70" i="71" s="1"/>
  <c r="Q70" i="71"/>
  <c r="P70" i="71"/>
  <c r="O70" i="71"/>
  <c r="N70" i="71"/>
  <c r="Q69" i="71"/>
  <c r="P69" i="71"/>
  <c r="O69" i="71"/>
  <c r="N69" i="71"/>
  <c r="D69" i="71"/>
  <c r="F68" i="71"/>
  <c r="E68" i="71"/>
  <c r="C68" i="71"/>
  <c r="B68" i="71"/>
  <c r="F67" i="71"/>
  <c r="F66" i="71" s="1"/>
  <c r="D65" i="71"/>
  <c r="Q64" i="71"/>
  <c r="P64" i="71"/>
  <c r="O64" i="71"/>
  <c r="N64" i="71"/>
  <c r="Q63" i="71"/>
  <c r="P63" i="71"/>
  <c r="O63" i="71"/>
  <c r="N63" i="71"/>
  <c r="Q62" i="71"/>
  <c r="P62" i="71"/>
  <c r="E63" i="71" s="1"/>
  <c r="E64" i="71" s="1"/>
  <c r="U64" i="71" s="1"/>
  <c r="O62" i="71"/>
  <c r="N62" i="71"/>
  <c r="Q61" i="71"/>
  <c r="F62" i="71"/>
  <c r="F63" i="71" s="1"/>
  <c r="F64" i="71" s="1"/>
  <c r="V64" i="71" s="1"/>
  <c r="P61" i="71"/>
  <c r="E62" i="71" s="1"/>
  <c r="O61" i="71"/>
  <c r="C62" i="71" s="1"/>
  <c r="C63" i="71" s="1"/>
  <c r="N61" i="71"/>
  <c r="B62" i="71" s="1"/>
  <c r="D61" i="71"/>
  <c r="Q60" i="71"/>
  <c r="P60" i="71"/>
  <c r="O60" i="71"/>
  <c r="N60" i="71"/>
  <c r="Q59" i="71"/>
  <c r="P59" i="71"/>
  <c r="O59" i="71"/>
  <c r="N59" i="71"/>
  <c r="Q58" i="71"/>
  <c r="P58" i="71"/>
  <c r="O58" i="71"/>
  <c r="N58" i="71"/>
  <c r="Q57" i="71"/>
  <c r="F58" i="71" s="1"/>
  <c r="F59" i="71"/>
  <c r="F60" i="71" s="1"/>
  <c r="V60" i="71" s="1"/>
  <c r="P57" i="71"/>
  <c r="E58" i="71"/>
  <c r="O57" i="71"/>
  <c r="C58" i="71"/>
  <c r="C59" i="71" s="1"/>
  <c r="C60" i="71" s="1"/>
  <c r="N57" i="71"/>
  <c r="B58" i="71"/>
  <c r="B59" i="71" s="1"/>
  <c r="B60" i="71" s="1"/>
  <c r="S60" i="71" s="1"/>
  <c r="D57" i="71"/>
  <c r="Q56" i="71"/>
  <c r="P56" i="71"/>
  <c r="O56" i="71"/>
  <c r="N56" i="71"/>
  <c r="Q55" i="71"/>
  <c r="P55" i="71"/>
  <c r="O55" i="71"/>
  <c r="N55" i="71"/>
  <c r="Q54" i="71"/>
  <c r="P54" i="71"/>
  <c r="O54" i="71"/>
  <c r="N54" i="71"/>
  <c r="Q53" i="71"/>
  <c r="F54" i="71" s="1"/>
  <c r="F55" i="71" s="1"/>
  <c r="F56" i="71" s="1"/>
  <c r="V56" i="71" s="1"/>
  <c r="P53" i="71"/>
  <c r="E54" i="71" s="1"/>
  <c r="E55" i="71" s="1"/>
  <c r="E56" i="71" s="1"/>
  <c r="U56" i="71" s="1"/>
  <c r="O53" i="71"/>
  <c r="C54" i="71" s="1"/>
  <c r="C55" i="71" s="1"/>
  <c r="C56" i="71" s="1"/>
  <c r="N53" i="71"/>
  <c r="B54" i="71" s="1"/>
  <c r="D53" i="71"/>
  <c r="Q52" i="71"/>
  <c r="P52" i="71"/>
  <c r="O52" i="71"/>
  <c r="N52" i="71"/>
  <c r="Q51" i="71"/>
  <c r="P51" i="71"/>
  <c r="O51" i="71"/>
  <c r="N51" i="71"/>
  <c r="Q50" i="71"/>
  <c r="P50" i="71"/>
  <c r="O50" i="71"/>
  <c r="N50" i="71"/>
  <c r="Q49" i="71"/>
  <c r="F50" i="71" s="1"/>
  <c r="P49" i="71"/>
  <c r="E50" i="71" s="1"/>
  <c r="E51" i="71" s="1"/>
  <c r="E52" i="71" s="1"/>
  <c r="U52" i="71" s="1"/>
  <c r="O49" i="71"/>
  <c r="C50" i="71" s="1"/>
  <c r="D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c r="E48" i="71" s="1"/>
  <c r="U48" i="71" s="1"/>
  <c r="O45" i="71"/>
  <c r="C46" i="71"/>
  <c r="C47" i="71" s="1"/>
  <c r="D47" i="71" s="1"/>
  <c r="N45" i="71"/>
  <c r="B46" i="71"/>
  <c r="B47" i="71" s="1"/>
  <c r="B48" i="71" s="1"/>
  <c r="S48"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s="1"/>
  <c r="B43" i="71" s="1"/>
  <c r="B44" i="71" s="1"/>
  <c r="S44" i="71" s="1"/>
  <c r="D41" i="71"/>
  <c r="Q40" i="71"/>
  <c r="P40" i="71"/>
  <c r="O40" i="71"/>
  <c r="N40" i="71"/>
  <c r="Q39" i="71"/>
  <c r="P39" i="71"/>
  <c r="AA39" i="71" s="1"/>
  <c r="O39" i="71"/>
  <c r="Y39" i="71" s="1"/>
  <c r="Z39" i="71" s="1"/>
  <c r="N39" i="71"/>
  <c r="Q38" i="71"/>
  <c r="AB38" i="71" s="1"/>
  <c r="P38" i="71"/>
  <c r="AA38" i="71" s="1"/>
  <c r="O38" i="71"/>
  <c r="N38" i="71"/>
  <c r="Q37" i="71"/>
  <c r="F38" i="71" s="1"/>
  <c r="F39" i="71" s="1"/>
  <c r="F40" i="71" s="1"/>
  <c r="V40" i="71" s="1"/>
  <c r="P37" i="71"/>
  <c r="AA37" i="71" s="1"/>
  <c r="O37" i="71"/>
  <c r="N37" i="71"/>
  <c r="B38" i="71" s="1"/>
  <c r="B39" i="71" s="1"/>
  <c r="D37" i="71"/>
  <c r="Q36" i="71"/>
  <c r="P36" i="71"/>
  <c r="O36" i="71"/>
  <c r="N36" i="71"/>
  <c r="Q35" i="71"/>
  <c r="AB35" i="71" s="1"/>
  <c r="P35" i="71"/>
  <c r="O35" i="71"/>
  <c r="N35" i="71"/>
  <c r="Q34" i="71"/>
  <c r="P34" i="71"/>
  <c r="O34" i="71"/>
  <c r="Y34" i="71" s="1"/>
  <c r="Z34" i="71" s="1"/>
  <c r="N34" i="71"/>
  <c r="Q33" i="71"/>
  <c r="F34" i="71" s="1"/>
  <c r="P33" i="71"/>
  <c r="O33" i="71"/>
  <c r="C34" i="71" s="1"/>
  <c r="N33" i="71"/>
  <c r="B34" i="71" s="1"/>
  <c r="B35" i="71" s="1"/>
  <c r="D33" i="71"/>
  <c r="Q32" i="71"/>
  <c r="P32" i="71"/>
  <c r="O32" i="71"/>
  <c r="Y32" i="71" s="1"/>
  <c r="Z32" i="71" s="1"/>
  <c r="N32" i="71"/>
  <c r="Q31" i="71"/>
  <c r="P31" i="71"/>
  <c r="O31" i="71"/>
  <c r="N31" i="71"/>
  <c r="Q30" i="71"/>
  <c r="P30" i="71"/>
  <c r="O30" i="71"/>
  <c r="N30" i="71"/>
  <c r="Q29" i="71"/>
  <c r="P29" i="71"/>
  <c r="E30" i="71" s="1"/>
  <c r="O29" i="71"/>
  <c r="N29" i="71"/>
  <c r="X26" i="71" s="1"/>
  <c r="D29" i="71"/>
  <c r="O28" i="71"/>
  <c r="C28" i="71" s="1"/>
  <c r="N28" i="71"/>
  <c r="B30" i="71"/>
  <c r="B31" i="71" s="1"/>
  <c r="E38" i="71"/>
  <c r="E34" i="71"/>
  <c r="AA32" i="71"/>
  <c r="C38" i="71"/>
  <c r="F51" i="71"/>
  <c r="F52" i="71" s="1"/>
  <c r="V52" i="71" s="1"/>
  <c r="Y26" i="71"/>
  <c r="Z26" i="71" s="1"/>
  <c r="D34" i="71"/>
  <c r="C43" i="71"/>
  <c r="C44" i="71" s="1"/>
  <c r="D46" i="71"/>
  <c r="P28" i="71"/>
  <c r="E59" i="71"/>
  <c r="E60" i="71" s="1"/>
  <c r="U60" i="71" s="1"/>
  <c r="U68" i="71"/>
  <c r="Q28" i="71"/>
  <c r="D54" i="71"/>
  <c r="D62" i="71"/>
  <c r="Q67" i="71"/>
  <c r="O68" i="71"/>
  <c r="C67" i="71"/>
  <c r="C71" i="71"/>
  <c r="C70" i="71" s="1"/>
  <c r="D70" i="71" s="1"/>
  <c r="D72" i="71"/>
  <c r="E75" i="71"/>
  <c r="E74" i="71" s="1"/>
  <c r="C79" i="71"/>
  <c r="D80" i="71"/>
  <c r="C83" i="71"/>
  <c r="C87" i="71"/>
  <c r="C86" i="71" s="1"/>
  <c r="D86" i="71" s="1"/>
  <c r="E28" i="71"/>
  <c r="E27" i="71" s="1"/>
  <c r="E26" i="71" s="1"/>
  <c r="AA28" i="71"/>
  <c r="O67" i="71"/>
  <c r="D83" i="71"/>
  <c r="C82" i="71"/>
  <c r="D82" i="71"/>
  <c r="D79" i="71"/>
  <c r="C78" i="71"/>
  <c r="D78" i="71" s="1"/>
  <c r="D59" i="71"/>
  <c r="D55" i="71"/>
  <c r="D43"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D83" i="21"/>
  <c r="F21" i="21"/>
  <c r="AA21" i="21" s="1"/>
  <c r="D81" i="21"/>
  <c r="H19" i="21" s="1"/>
  <c r="G20" i="20"/>
  <c r="B88" i="43"/>
  <c r="C22" i="20"/>
  <c r="B100" i="43" s="1"/>
  <c r="B77" i="43"/>
  <c r="B57" i="43"/>
  <c r="B68" i="43"/>
  <c r="C25" i="40"/>
  <c r="C29" i="39"/>
  <c r="S18" i="36"/>
  <c r="H25" i="40"/>
  <c r="AB25" i="40" s="1"/>
  <c r="J25" i="40"/>
  <c r="AC25" i="40" s="1"/>
  <c r="H29" i="39"/>
  <c r="AB29" i="39" s="1"/>
  <c r="J29" i="39"/>
  <c r="AC29" i="39" s="1"/>
  <c r="J18" i="36"/>
  <c r="AC18" i="36" s="1"/>
  <c r="H18" i="35"/>
  <c r="AB18" i="35" s="1"/>
  <c r="S18" i="35"/>
  <c r="J18" i="35"/>
  <c r="H21" i="37"/>
  <c r="U21" i="37" s="1"/>
  <c r="F21" i="37"/>
  <c r="AA21" i="37" s="1"/>
  <c r="H21" i="34"/>
  <c r="AB21" i="34" s="1"/>
  <c r="H21" i="33"/>
  <c r="U21" i="33" s="1"/>
  <c r="F21" i="33"/>
  <c r="E83" i="21"/>
  <c r="F83" i="21" s="1"/>
  <c r="G83" i="21" s="1"/>
  <c r="S21" i="21"/>
  <c r="H1" i="69"/>
  <c r="W25" i="40"/>
  <c r="U25" i="40"/>
  <c r="W29" i="39"/>
  <c r="AB21" i="37"/>
  <c r="S21" i="37"/>
  <c r="U21" i="34"/>
  <c r="AB21" i="33"/>
  <c r="AA21" i="33"/>
  <c r="S21" i="33"/>
  <c r="U18" i="35"/>
  <c r="AC18" i="35"/>
  <c r="W18" i="35"/>
  <c r="J21" i="37"/>
  <c r="W21" i="37" s="1"/>
  <c r="J21" i="34"/>
  <c r="W21" i="34" s="1"/>
  <c r="J21" i="33"/>
  <c r="W21" i="33" s="1"/>
  <c r="H21" i="21"/>
  <c r="U21" i="21" s="1"/>
  <c r="F38" i="69"/>
  <c r="E37" i="69"/>
  <c r="F36" i="69"/>
  <c r="F35" i="69"/>
  <c r="F21" i="69"/>
  <c r="F40" i="69" s="1"/>
  <c r="F20" i="69"/>
  <c r="F39" i="69" s="1"/>
  <c r="E10" i="69"/>
  <c r="E9" i="69"/>
  <c r="C7" i="69"/>
  <c r="AC21" i="37"/>
  <c r="AB21" i="21"/>
  <c r="J21" i="21"/>
  <c r="AC21" i="21" s="1"/>
  <c r="C40" i="69"/>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c r="B11" i="72" s="1"/>
  <c r="S1" i="4"/>
  <c r="B1" i="4"/>
  <c r="B37" i="48" s="1"/>
  <c r="B2" i="72" s="1"/>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K13" i="1" s="1"/>
  <c r="M13" i="1" s="1"/>
  <c r="O13" i="1" s="1"/>
  <c r="P13" i="1" s="1"/>
  <c r="A6" i="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L107" i="3" s="1"/>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L98" i="3" s="1"/>
  <c r="BK98" i="3"/>
  <c r="BJ98" i="3"/>
  <c r="BI98" i="3"/>
  <c r="BH98" i="3"/>
  <c r="BG98" i="3"/>
  <c r="BF98" i="3"/>
  <c r="BE98" i="3"/>
  <c r="BD98" i="3"/>
  <c r="BC98" i="3"/>
  <c r="BB98" i="3"/>
  <c r="AX98" i="3"/>
  <c r="AW98" i="3"/>
  <c r="AV98" i="3"/>
  <c r="AC98" i="3"/>
  <c r="H98" i="3"/>
  <c r="BT97" i="3"/>
  <c r="BS97" i="3"/>
  <c r="BR97" i="3"/>
  <c r="BQ97" i="3"/>
  <c r="BP97" i="3"/>
  <c r="BO97" i="3"/>
  <c r="BN97" i="3"/>
  <c r="BM97" i="3"/>
  <c r="BL97" i="3" s="1"/>
  <c r="BK97" i="3"/>
  <c r="BJ97" i="3"/>
  <c r="BI97" i="3"/>
  <c r="BH97" i="3"/>
  <c r="BG97" i="3"/>
  <c r="BF97" i="3"/>
  <c r="BE97" i="3"/>
  <c r="BD97" i="3"/>
  <c r="BC97" i="3"/>
  <c r="BB97" i="3"/>
  <c r="AX97" i="3"/>
  <c r="AW97" i="3"/>
  <c r="AV97" i="3"/>
  <c r="AC97" i="3"/>
  <c r="H97" i="3"/>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L95" i="3" s="1"/>
  <c r="BK95" i="3"/>
  <c r="BJ95" i="3"/>
  <c r="BI95" i="3"/>
  <c r="BH95" i="3"/>
  <c r="BG95" i="3"/>
  <c r="BF95" i="3"/>
  <c r="BE95" i="3"/>
  <c r="BD95" i="3"/>
  <c r="BC95" i="3"/>
  <c r="BB95" i="3"/>
  <c r="AX95" i="3"/>
  <c r="AW95" i="3"/>
  <c r="AV95" i="3"/>
  <c r="AC95" i="3"/>
  <c r="H95" i="3"/>
  <c r="BT94" i="3"/>
  <c r="BS94" i="3"/>
  <c r="BR94" i="3"/>
  <c r="BQ94" i="3"/>
  <c r="BP94" i="3"/>
  <c r="BO94" i="3"/>
  <c r="BN94" i="3"/>
  <c r="BM94" i="3"/>
  <c r="BL94" i="3" s="1"/>
  <c r="BK94" i="3"/>
  <c r="BJ94" i="3"/>
  <c r="BI94" i="3"/>
  <c r="BH94" i="3"/>
  <c r="BG94" i="3"/>
  <c r="BF94" i="3"/>
  <c r="BE94" i="3"/>
  <c r="BD94" i="3"/>
  <c r="BC94" i="3"/>
  <c r="BB94" i="3"/>
  <c r="AX94" i="3"/>
  <c r="AW94" i="3"/>
  <c r="AV94" i="3"/>
  <c r="AC94" i="3"/>
  <c r="H94" i="3"/>
  <c r="BT93" i="3"/>
  <c r="BS93" i="3"/>
  <c r="BR93" i="3"/>
  <c r="BQ93" i="3"/>
  <c r="BP93" i="3"/>
  <c r="BO93" i="3"/>
  <c r="BN93" i="3"/>
  <c r="BM93" i="3"/>
  <c r="BL93" i="3" s="1"/>
  <c r="BK93" i="3"/>
  <c r="BJ93" i="3"/>
  <c r="BI93" i="3"/>
  <c r="BH93" i="3"/>
  <c r="BG93" i="3"/>
  <c r="BF93" i="3"/>
  <c r="BE93" i="3"/>
  <c r="BD93" i="3"/>
  <c r="BC93" i="3"/>
  <c r="BB93" i="3"/>
  <c r="AX93" i="3"/>
  <c r="AW93" i="3"/>
  <c r="AV93" i="3"/>
  <c r="AC93" i="3"/>
  <c r="H93" i="3"/>
  <c r="BT92" i="3"/>
  <c r="BS92" i="3"/>
  <c r="BR92" i="3"/>
  <c r="BQ92" i="3"/>
  <c r="BP92" i="3"/>
  <c r="BO92" i="3"/>
  <c r="BN92" i="3"/>
  <c r="BM92" i="3"/>
  <c r="BL92" i="3" s="1"/>
  <c r="BK92" i="3"/>
  <c r="BJ92" i="3"/>
  <c r="BI92" i="3"/>
  <c r="BH92" i="3"/>
  <c r="BG92" i="3"/>
  <c r="BF92" i="3"/>
  <c r="BE92" i="3"/>
  <c r="BD92" i="3"/>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L90" i="3" s="1"/>
  <c r="BK90" i="3"/>
  <c r="BJ90" i="3"/>
  <c r="BI90" i="3"/>
  <c r="BH90" i="3"/>
  <c r="BG90" i="3"/>
  <c r="BF90" i="3"/>
  <c r="BE90" i="3"/>
  <c r="BD90" i="3"/>
  <c r="BC90" i="3"/>
  <c r="BB90" i="3"/>
  <c r="AX90" i="3"/>
  <c r="AW90" i="3"/>
  <c r="AV90" i="3"/>
  <c r="AC90" i="3"/>
  <c r="H90" i="3"/>
  <c r="BT89" i="3"/>
  <c r="BS89" i="3"/>
  <c r="BR89" i="3"/>
  <c r="BQ89" i="3"/>
  <c r="BP89" i="3"/>
  <c r="BO89" i="3"/>
  <c r="BN89" i="3"/>
  <c r="BM89" i="3"/>
  <c r="BL89" i="3" s="1"/>
  <c r="BK89" i="3"/>
  <c r="BJ89" i="3"/>
  <c r="BI89" i="3"/>
  <c r="BH89" i="3"/>
  <c r="BG89" i="3"/>
  <c r="BF89" i="3"/>
  <c r="BE89" i="3"/>
  <c r="BD89" i="3"/>
  <c r="BC89" i="3"/>
  <c r="BB89" i="3"/>
  <c r="AX89" i="3"/>
  <c r="AW89" i="3"/>
  <c r="AV89" i="3"/>
  <c r="AC89" i="3"/>
  <c r="H89" i="3"/>
  <c r="BT88" i="3"/>
  <c r="BS88" i="3"/>
  <c r="BR88" i="3"/>
  <c r="BQ88" i="3"/>
  <c r="BP88" i="3"/>
  <c r="BO88" i="3"/>
  <c r="BN88" i="3"/>
  <c r="BM88" i="3"/>
  <c r="BL88" i="3" s="1"/>
  <c r="BK88" i="3"/>
  <c r="BJ88" i="3"/>
  <c r="BI88" i="3"/>
  <c r="BH88" i="3"/>
  <c r="BG88" i="3"/>
  <c r="BF88" i="3"/>
  <c r="BE88" i="3"/>
  <c r="BD88" i="3"/>
  <c r="BC88" i="3"/>
  <c r="BB88" i="3"/>
  <c r="AX88" i="3"/>
  <c r="AW88" i="3"/>
  <c r="AV88" i="3"/>
  <c r="AC88" i="3"/>
  <c r="H88" i="3"/>
  <c r="BT87" i="3"/>
  <c r="BS87" i="3"/>
  <c r="BR87" i="3"/>
  <c r="BQ87" i="3"/>
  <c r="BP87" i="3"/>
  <c r="BO87" i="3"/>
  <c r="BN87" i="3"/>
  <c r="BM87" i="3"/>
  <c r="BL87" i="3" s="1"/>
  <c r="BK87" i="3"/>
  <c r="BJ87" i="3"/>
  <c r="BI87" i="3"/>
  <c r="BH87" i="3"/>
  <c r="BG87" i="3"/>
  <c r="BF87" i="3"/>
  <c r="BE87" i="3"/>
  <c r="BD87" i="3"/>
  <c r="BC87" i="3"/>
  <c r="BB87" i="3"/>
  <c r="AX87" i="3"/>
  <c r="AW87" i="3"/>
  <c r="AV87" i="3"/>
  <c r="AC87" i="3"/>
  <c r="H87" i="3"/>
  <c r="BT86" i="3"/>
  <c r="BS86" i="3"/>
  <c r="BR86" i="3"/>
  <c r="BQ86" i="3"/>
  <c r="BP86" i="3"/>
  <c r="BO86" i="3"/>
  <c r="BN86" i="3"/>
  <c r="BM86" i="3"/>
  <c r="BL86" i="3" s="1"/>
  <c r="BK86" i="3"/>
  <c r="BJ86" i="3"/>
  <c r="BI86" i="3"/>
  <c r="BH86" i="3"/>
  <c r="BG86" i="3"/>
  <c r="BF86" i="3"/>
  <c r="BE86" i="3"/>
  <c r="BD86" i="3"/>
  <c r="BC86" i="3"/>
  <c r="BB86" i="3"/>
  <c r="AX86" i="3"/>
  <c r="AW86" i="3"/>
  <c r="AV86" i="3"/>
  <c r="AC86" i="3"/>
  <c r="H86" i="3"/>
  <c r="BT85" i="3"/>
  <c r="BS85" i="3"/>
  <c r="BR85" i="3"/>
  <c r="BQ85" i="3"/>
  <c r="BP85" i="3"/>
  <c r="BO85" i="3"/>
  <c r="BN85" i="3"/>
  <c r="BM85" i="3"/>
  <c r="BL85" i="3" s="1"/>
  <c r="BK85" i="3"/>
  <c r="BJ85" i="3"/>
  <c r="BI85" i="3"/>
  <c r="BH85" i="3"/>
  <c r="BG85" i="3"/>
  <c r="BF85" i="3"/>
  <c r="BE85" i="3"/>
  <c r="BD85" i="3"/>
  <c r="BC85" i="3"/>
  <c r="BB85" i="3"/>
  <c r="AX85" i="3"/>
  <c r="AW85" i="3"/>
  <c r="AV85" i="3"/>
  <c r="AC85" i="3"/>
  <c r="H85" i="3"/>
  <c r="BT84" i="3"/>
  <c r="BS84" i="3"/>
  <c r="BR84" i="3"/>
  <c r="BQ84" i="3"/>
  <c r="BP84" i="3"/>
  <c r="BO84" i="3"/>
  <c r="BN84" i="3"/>
  <c r="BM84" i="3"/>
  <c r="BL84" i="3" s="1"/>
  <c r="BK84" i="3"/>
  <c r="BJ84" i="3"/>
  <c r="BI84" i="3"/>
  <c r="BH84" i="3"/>
  <c r="BG84" i="3"/>
  <c r="BF84" i="3"/>
  <c r="BE84" i="3"/>
  <c r="BD84" i="3"/>
  <c r="BC84" i="3"/>
  <c r="BB84" i="3"/>
  <c r="AX84" i="3"/>
  <c r="AW84" i="3"/>
  <c r="AV84" i="3"/>
  <c r="AC84" i="3"/>
  <c r="H84" i="3"/>
  <c r="BT83" i="3"/>
  <c r="BS83" i="3"/>
  <c r="BR83" i="3"/>
  <c r="BQ83" i="3"/>
  <c r="BP83" i="3"/>
  <c r="BO83" i="3"/>
  <c r="BN83" i="3"/>
  <c r="BM83" i="3"/>
  <c r="BL83" i="3" s="1"/>
  <c r="BK83" i="3"/>
  <c r="BJ83" i="3"/>
  <c r="BI83" i="3"/>
  <c r="BH83" i="3"/>
  <c r="BG83" i="3"/>
  <c r="BF83" i="3"/>
  <c r="BE83" i="3"/>
  <c r="BD83" i="3"/>
  <c r="BC83" i="3"/>
  <c r="BB83" i="3"/>
  <c r="AX83" i="3"/>
  <c r="AW83" i="3"/>
  <c r="AV83" i="3"/>
  <c r="AC83" i="3"/>
  <c r="H83" i="3"/>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L81" i="3" s="1"/>
  <c r="BK81" i="3"/>
  <c r="BJ81" i="3"/>
  <c r="BI81" i="3"/>
  <c r="BH81" i="3"/>
  <c r="BG81" i="3"/>
  <c r="BF81" i="3"/>
  <c r="BE81" i="3"/>
  <c r="BD81" i="3"/>
  <c r="BC81" i="3"/>
  <c r="BB81" i="3"/>
  <c r="AX81" i="3"/>
  <c r="AW81" i="3"/>
  <c r="AV81" i="3"/>
  <c r="AC81" i="3"/>
  <c r="H81" i="3"/>
  <c r="BT80" i="3"/>
  <c r="BS80" i="3"/>
  <c r="BR80" i="3"/>
  <c r="BQ80" i="3"/>
  <c r="BP80" i="3"/>
  <c r="BO80" i="3"/>
  <c r="BN80" i="3"/>
  <c r="BM80" i="3"/>
  <c r="BL80" i="3" s="1"/>
  <c r="BK80" i="3"/>
  <c r="BJ80" i="3"/>
  <c r="BI80" i="3"/>
  <c r="BH80" i="3"/>
  <c r="BG80" i="3"/>
  <c r="BF80" i="3"/>
  <c r="BE80" i="3"/>
  <c r="BD80" i="3"/>
  <c r="BC80" i="3"/>
  <c r="BB80" i="3"/>
  <c r="AX80" i="3"/>
  <c r="AW80" i="3"/>
  <c r="AV80" i="3"/>
  <c r="AC80" i="3"/>
  <c r="H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L78" i="3" s="1"/>
  <c r="BK78" i="3"/>
  <c r="BJ78" i="3"/>
  <c r="BI78" i="3"/>
  <c r="BH78" i="3"/>
  <c r="BG78" i="3"/>
  <c r="BF78" i="3"/>
  <c r="BE78" i="3"/>
  <c r="BD78" i="3"/>
  <c r="BC78" i="3"/>
  <c r="BB78" i="3"/>
  <c r="AX78" i="3"/>
  <c r="AW78" i="3"/>
  <c r="AV78" i="3"/>
  <c r="AC78" i="3"/>
  <c r="H78" i="3"/>
  <c r="BT77" i="3"/>
  <c r="BS77" i="3"/>
  <c r="BR77" i="3"/>
  <c r="BQ77" i="3"/>
  <c r="BP77" i="3"/>
  <c r="BO77" i="3"/>
  <c r="BN77" i="3"/>
  <c r="BM77" i="3"/>
  <c r="BL77" i="3" s="1"/>
  <c r="BK77" i="3"/>
  <c r="BJ77" i="3"/>
  <c r="BI77" i="3"/>
  <c r="BH77" i="3"/>
  <c r="BG77" i="3"/>
  <c r="BF77" i="3"/>
  <c r="BE77" i="3"/>
  <c r="BD77" i="3"/>
  <c r="BC77" i="3"/>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L71" i="3" s="1"/>
  <c r="BK71" i="3"/>
  <c r="BJ71" i="3"/>
  <c r="BI71" i="3"/>
  <c r="BH71" i="3"/>
  <c r="BG71" i="3"/>
  <c r="BF71" i="3"/>
  <c r="BE71" i="3"/>
  <c r="BD71" i="3"/>
  <c r="BC71" i="3"/>
  <c r="BB71" i="3"/>
  <c r="AX71" i="3"/>
  <c r="AW71" i="3"/>
  <c r="AV71" i="3"/>
  <c r="AC71" i="3"/>
  <c r="H71" i="3"/>
  <c r="BT70" i="3"/>
  <c r="BS70" i="3"/>
  <c r="BR70" i="3"/>
  <c r="BQ70" i="3"/>
  <c r="BP70" i="3"/>
  <c r="BO70" i="3"/>
  <c r="BN70" i="3"/>
  <c r="BM70" i="3"/>
  <c r="BL70" i="3" s="1"/>
  <c r="BK70" i="3"/>
  <c r="BJ70" i="3"/>
  <c r="BI70" i="3"/>
  <c r="BH70" i="3"/>
  <c r="BG70" i="3"/>
  <c r="BF70" i="3"/>
  <c r="BE70" i="3"/>
  <c r="BD70" i="3"/>
  <c r="BC70" i="3"/>
  <c r="BB70" i="3"/>
  <c r="AX70" i="3"/>
  <c r="AW70" i="3"/>
  <c r="AV70" i="3"/>
  <c r="AC70" i="3"/>
  <c r="H70" i="3"/>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L68" i="3" s="1"/>
  <c r="BK68" i="3"/>
  <c r="BJ68" i="3"/>
  <c r="BI68" i="3"/>
  <c r="BH68" i="3"/>
  <c r="BG68" i="3"/>
  <c r="BF68" i="3"/>
  <c r="BE68" i="3"/>
  <c r="BD68" i="3"/>
  <c r="BC68" i="3"/>
  <c r="BB68" i="3"/>
  <c r="AX68" i="3"/>
  <c r="AW68" i="3"/>
  <c r="AV68" i="3"/>
  <c r="AC68" i="3"/>
  <c r="H68" i="3"/>
  <c r="BT67" i="3"/>
  <c r="BS67" i="3"/>
  <c r="BR67" i="3"/>
  <c r="BQ67" i="3"/>
  <c r="BP67" i="3"/>
  <c r="BO67" i="3"/>
  <c r="BN67" i="3"/>
  <c r="BM67" i="3"/>
  <c r="BL67" i="3" s="1"/>
  <c r="BK67" i="3"/>
  <c r="BJ67" i="3"/>
  <c r="BI67" i="3"/>
  <c r="BH67" i="3"/>
  <c r="BG67" i="3"/>
  <c r="BF67" i="3"/>
  <c r="BE67" i="3"/>
  <c r="BD67" i="3"/>
  <c r="BC67" i="3"/>
  <c r="BB67" i="3"/>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BT65" i="3"/>
  <c r="BS65" i="3"/>
  <c r="BR65" i="3"/>
  <c r="BQ65" i="3"/>
  <c r="BP65" i="3"/>
  <c r="BO65" i="3"/>
  <c r="BN65" i="3"/>
  <c r="BM65" i="3"/>
  <c r="BL65" i="3" s="1"/>
  <c r="BK65" i="3"/>
  <c r="BJ65" i="3"/>
  <c r="BI65" i="3"/>
  <c r="BH65" i="3"/>
  <c r="BG65" i="3"/>
  <c r="BF65" i="3"/>
  <c r="BE65" i="3"/>
  <c r="BD65" i="3"/>
  <c r="BC65" i="3"/>
  <c r="BB65" i="3"/>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BT63" i="3"/>
  <c r="BS63" i="3"/>
  <c r="BR63" i="3"/>
  <c r="BQ63" i="3"/>
  <c r="BP63" i="3"/>
  <c r="BO63" i="3"/>
  <c r="BN63" i="3"/>
  <c r="BM63" i="3"/>
  <c r="BL63" i="3" s="1"/>
  <c r="BK63" i="3"/>
  <c r="BJ63" i="3"/>
  <c r="BI63" i="3"/>
  <c r="BH63" i="3"/>
  <c r="BG63" i="3"/>
  <c r="BF63" i="3"/>
  <c r="BE63" i="3"/>
  <c r="BD63" i="3"/>
  <c r="BC63" i="3"/>
  <c r="BB63" i="3"/>
  <c r="AX63" i="3"/>
  <c r="AW63" i="3"/>
  <c r="AV63" i="3"/>
  <c r="AC63" i="3"/>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BA60" i="3" s="1"/>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L58" i="3" s="1"/>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L55" i="3" s="1"/>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G52" i="3" s="1"/>
  <c r="BT51" i="3"/>
  <c r="BS51" i="3"/>
  <c r="BR51" i="3"/>
  <c r="BQ51" i="3"/>
  <c r="BP51" i="3"/>
  <c r="BO51" i="3"/>
  <c r="BN51" i="3"/>
  <c r="BM51" i="3"/>
  <c r="BL51" i="3" s="1"/>
  <c r="BK51" i="3"/>
  <c r="BJ51" i="3"/>
  <c r="BI51" i="3"/>
  <c r="BH51" i="3"/>
  <c r="BG51" i="3"/>
  <c r="BF51" i="3"/>
  <c r="BE51" i="3"/>
  <c r="BD51" i="3"/>
  <c r="BC51" i="3"/>
  <c r="BB51" i="3"/>
  <c r="AX51" i="3"/>
  <c r="AW51" i="3"/>
  <c r="AV51" i="3"/>
  <c r="AC51" i="3"/>
  <c r="H51" i="3"/>
  <c r="BT50" i="3"/>
  <c r="BS50" i="3"/>
  <c r="BR50" i="3"/>
  <c r="BQ50" i="3"/>
  <c r="BP50" i="3"/>
  <c r="BO50" i="3"/>
  <c r="BN50" i="3"/>
  <c r="BM50" i="3"/>
  <c r="BK50" i="3"/>
  <c r="BJ50" i="3"/>
  <c r="BI50" i="3"/>
  <c r="BH50" i="3"/>
  <c r="BG50" i="3"/>
  <c r="BF50" i="3"/>
  <c r="BE50" i="3"/>
  <c r="BD50" i="3"/>
  <c r="BC50" i="3"/>
  <c r="BB50" i="3"/>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BA48" i="3"/>
  <c r="AX48" i="3"/>
  <c r="AW48" i="3"/>
  <c r="AV48" i="3"/>
  <c r="AC48" i="3"/>
  <c r="H48" i="3"/>
  <c r="BT47" i="3"/>
  <c r="BS47" i="3"/>
  <c r="BR47" i="3"/>
  <c r="BQ47" i="3"/>
  <c r="BP47" i="3"/>
  <c r="BO47" i="3"/>
  <c r="BN47" i="3"/>
  <c r="BM47" i="3"/>
  <c r="BL47" i="3"/>
  <c r="BK47" i="3"/>
  <c r="BJ47" i="3"/>
  <c r="BI47" i="3"/>
  <c r="BH47" i="3"/>
  <c r="BG47" i="3"/>
  <c r="BF47" i="3"/>
  <c r="BE47" i="3"/>
  <c r="BD47" i="3"/>
  <c r="BC47" i="3"/>
  <c r="BB47" i="3"/>
  <c r="BA47" i="3" s="1"/>
  <c r="AX47" i="3"/>
  <c r="AW47" i="3"/>
  <c r="AV47" i="3"/>
  <c r="AC47" i="3"/>
  <c r="H47" i="3"/>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c r="BT45" i="3"/>
  <c r="BS45" i="3"/>
  <c r="BR45" i="3"/>
  <c r="BQ45" i="3"/>
  <c r="BP45" i="3"/>
  <c r="BO45" i="3"/>
  <c r="BN45" i="3"/>
  <c r="BM45" i="3"/>
  <c r="BL45" i="3" s="1"/>
  <c r="BK45" i="3"/>
  <c r="BJ45" i="3"/>
  <c r="BI45" i="3"/>
  <c r="BH45" i="3"/>
  <c r="BG45" i="3"/>
  <c r="BF45" i="3"/>
  <c r="BE45" i="3"/>
  <c r="BD45" i="3"/>
  <c r="BC45" i="3"/>
  <c r="BB45" i="3"/>
  <c r="BA45" i="3" s="1"/>
  <c r="AX45" i="3"/>
  <c r="AW45" i="3"/>
  <c r="AV45" i="3"/>
  <c r="AC45" i="3"/>
  <c r="H45" i="3"/>
  <c r="BT44" i="3"/>
  <c r="BS44" i="3"/>
  <c r="BR44" i="3"/>
  <c r="BQ44" i="3"/>
  <c r="BP44" i="3"/>
  <c r="BO44" i="3"/>
  <c r="BN44" i="3"/>
  <c r="BM44" i="3"/>
  <c r="BK44" i="3"/>
  <c r="BJ44" i="3"/>
  <c r="BI44" i="3"/>
  <c r="BH44" i="3"/>
  <c r="BG44" i="3"/>
  <c r="BF44" i="3"/>
  <c r="BE44" i="3"/>
  <c r="BD44" i="3"/>
  <c r="BC44" i="3"/>
  <c r="BB44" i="3"/>
  <c r="BA44" i="3"/>
  <c r="AX44" i="3"/>
  <c r="AW44" i="3"/>
  <c r="AV44" i="3"/>
  <c r="AC44" i="3"/>
  <c r="H44" i="3"/>
  <c r="BT43" i="3"/>
  <c r="BS43" i="3"/>
  <c r="BR43" i="3"/>
  <c r="BQ43" i="3"/>
  <c r="BP43" i="3"/>
  <c r="BO43" i="3"/>
  <c r="BN43" i="3"/>
  <c r="BM43" i="3"/>
  <c r="BL43" i="3"/>
  <c r="BK43" i="3"/>
  <c r="BJ43" i="3"/>
  <c r="BI43" i="3"/>
  <c r="BH43" i="3"/>
  <c r="BG43" i="3"/>
  <c r="BF43" i="3"/>
  <c r="BE43" i="3"/>
  <c r="BD43" i="3"/>
  <c r="BC43" i="3"/>
  <c r="BB43" i="3"/>
  <c r="BA43" i="3" s="1"/>
  <c r="AX43" i="3"/>
  <c r="AW43" i="3"/>
  <c r="AV43" i="3"/>
  <c r="AC43" i="3"/>
  <c r="H43" i="3"/>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BA39" i="3" s="1"/>
  <c r="AX39" i="3"/>
  <c r="AW39" i="3"/>
  <c r="AV39" i="3"/>
  <c r="AC39" i="3"/>
  <c r="H39" i="3"/>
  <c r="BT38" i="3"/>
  <c r="BS38" i="3"/>
  <c r="BR38" i="3"/>
  <c r="BQ38" i="3"/>
  <c r="BP38" i="3"/>
  <c r="BO38" i="3"/>
  <c r="BN38" i="3"/>
  <c r="BM38" i="3"/>
  <c r="BK38" i="3"/>
  <c r="BJ38" i="3"/>
  <c r="BI38" i="3"/>
  <c r="BH38" i="3"/>
  <c r="BG38" i="3"/>
  <c r="BF38" i="3"/>
  <c r="BE38" i="3"/>
  <c r="BD38" i="3"/>
  <c r="BC38" i="3"/>
  <c r="BB38" i="3"/>
  <c r="BA38" i="3"/>
  <c r="AX38" i="3"/>
  <c r="AW38" i="3"/>
  <c r="AV38" i="3"/>
  <c r="AC38" i="3"/>
  <c r="H38" i="3"/>
  <c r="BT37" i="3"/>
  <c r="BS37" i="3"/>
  <c r="BR37" i="3"/>
  <c r="BQ37" i="3"/>
  <c r="BP37" i="3"/>
  <c r="BO37" i="3"/>
  <c r="BN37" i="3"/>
  <c r="BM37" i="3"/>
  <c r="BL37" i="3"/>
  <c r="BK37" i="3"/>
  <c r="BJ37" i="3"/>
  <c r="BI37" i="3"/>
  <c r="BH37" i="3"/>
  <c r="BG37" i="3"/>
  <c r="BF37" i="3"/>
  <c r="BE37" i="3"/>
  <c r="BD37" i="3"/>
  <c r="BC37" i="3"/>
  <c r="BB37" i="3"/>
  <c r="BA37" i="3" s="1"/>
  <c r="AX37" i="3"/>
  <c r="AW37" i="3"/>
  <c r="AV37" i="3"/>
  <c r="AC37" i="3"/>
  <c r="H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BT34" i="3"/>
  <c r="BS34" i="3"/>
  <c r="BR34" i="3"/>
  <c r="BQ34" i="3"/>
  <c r="BP34" i="3"/>
  <c r="BO34" i="3"/>
  <c r="BN34" i="3"/>
  <c r="BM34" i="3"/>
  <c r="BK34" i="3"/>
  <c r="BJ34" i="3"/>
  <c r="BI34" i="3"/>
  <c r="BH34" i="3"/>
  <c r="BG34" i="3"/>
  <c r="BF34" i="3"/>
  <c r="BE34" i="3"/>
  <c r="BD34" i="3"/>
  <c r="BC34" i="3"/>
  <c r="BB34" i="3"/>
  <c r="BA34" i="3"/>
  <c r="AX34" i="3"/>
  <c r="AW34" i="3"/>
  <c r="AV34" i="3"/>
  <c r="AC34" i="3"/>
  <c r="H34" i="3"/>
  <c r="BT33" i="3"/>
  <c r="BS33" i="3"/>
  <c r="BR33" i="3"/>
  <c r="BQ33" i="3"/>
  <c r="BP33" i="3"/>
  <c r="BO33" i="3"/>
  <c r="BN33" i="3"/>
  <c r="BM33" i="3"/>
  <c r="BL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BA32" i="3" s="1"/>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X31" i="3"/>
  <c r="AW31" i="3"/>
  <c r="AV31" i="3"/>
  <c r="AC31" i="3"/>
  <c r="H31" i="3"/>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BA29" i="3" s="1"/>
  <c r="AX29" i="3"/>
  <c r="AW29" i="3"/>
  <c r="AV29" i="3"/>
  <c r="AC29" i="3"/>
  <c r="H29" i="3"/>
  <c r="BT28" i="3"/>
  <c r="BS28" i="3"/>
  <c r="BR28" i="3"/>
  <c r="BQ28" i="3"/>
  <c r="BP28" i="3"/>
  <c r="BO28" i="3"/>
  <c r="BN28" i="3"/>
  <c r="BM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s="1"/>
  <c r="BK27" i="3"/>
  <c r="BJ27" i="3"/>
  <c r="BI27" i="3"/>
  <c r="BH27" i="3"/>
  <c r="BG27" i="3"/>
  <c r="BF27" i="3"/>
  <c r="BE27" i="3"/>
  <c r="BD27" i="3"/>
  <c r="BC27" i="3"/>
  <c r="BB27" i="3"/>
  <c r="BA27" i="3" s="1"/>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X23" i="3"/>
  <c r="AW23" i="3"/>
  <c r="AV23" i="3"/>
  <c r="AC23" i="3"/>
  <c r="H23" i="3"/>
  <c r="BT22" i="3"/>
  <c r="BS22" i="3"/>
  <c r="BR22" i="3"/>
  <c r="BQ22" i="3"/>
  <c r="BP22" i="3"/>
  <c r="BO22" i="3"/>
  <c r="BN22" i="3"/>
  <c r="BM22" i="3"/>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s="1"/>
  <c r="BK207" i="3"/>
  <c r="BJ207" i="3"/>
  <c r="BI207" i="3"/>
  <c r="BH207" i="3"/>
  <c r="BG207" i="3"/>
  <c r="BF207" i="3"/>
  <c r="BE207" i="3"/>
  <c r="BD207" i="3"/>
  <c r="BC207" i="3"/>
  <c r="BB207" i="3"/>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L189" i="3" s="1"/>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AX174" i="3"/>
  <c r="AW174" i="3"/>
  <c r="AV174" i="3"/>
  <c r="AC174" i="3"/>
  <c r="H174" i="3"/>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L157" i="3" s="1"/>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AX301" i="3"/>
  <c r="AW301" i="3"/>
  <c r="AV301" i="3"/>
  <c r="AC301" i="3"/>
  <c r="H301" i="3"/>
  <c r="G301" i="3" s="1"/>
  <c r="BT300" i="3"/>
  <c r="BS300" i="3"/>
  <c r="BR300" i="3"/>
  <c r="BQ300" i="3"/>
  <c r="BP300" i="3"/>
  <c r="BO300" i="3"/>
  <c r="BN300" i="3"/>
  <c r="BM300" i="3"/>
  <c r="BL300" i="3" s="1"/>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BA298" i="3" s="1"/>
  <c r="AZ298" i="3" s="1"/>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BT254" i="3"/>
  <c r="BS254" i="3"/>
  <c r="BR254" i="3"/>
  <c r="BQ254" i="3"/>
  <c r="BP254" i="3"/>
  <c r="BO254" i="3"/>
  <c r="BN254" i="3"/>
  <c r="BM254" i="3"/>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s="1"/>
  <c r="AX247" i="3"/>
  <c r="AW247" i="3"/>
  <c r="AV247" i="3"/>
  <c r="AC247" i="3"/>
  <c r="H247" i="3"/>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s="1"/>
  <c r="AX244" i="3"/>
  <c r="AW244" i="3"/>
  <c r="AV244" i="3"/>
  <c r="AC244" i="3"/>
  <c r="H244" i="3"/>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BT237" i="3"/>
  <c r="BS237" i="3"/>
  <c r="BR237" i="3"/>
  <c r="BQ237" i="3"/>
  <c r="BP237" i="3"/>
  <c r="BO237" i="3"/>
  <c r="BN237" i="3"/>
  <c r="BM237" i="3"/>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s="1"/>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K350" i="3"/>
  <c r="BJ350" i="3"/>
  <c r="BI350" i="3"/>
  <c r="BH350" i="3"/>
  <c r="BG350" i="3"/>
  <c r="BF350" i="3"/>
  <c r="BE350" i="3"/>
  <c r="BD350" i="3"/>
  <c r="BC350" i="3"/>
  <c r="BB350" i="3"/>
  <c r="BA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BA492" i="3"/>
  <c r="AX492" i="3"/>
  <c r="AW492" i="3"/>
  <c r="AV492" i="3"/>
  <c r="AC492" i="3"/>
  <c r="H492" i="3"/>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s="1"/>
  <c r="AZ488" i="3" s="1"/>
  <c r="AX488" i="3"/>
  <c r="AW488" i="3"/>
  <c r="AV488" i="3"/>
  <c r="AC488" i="3"/>
  <c r="H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BA484" i="3" s="1"/>
  <c r="AX484" i="3"/>
  <c r="AW484" i="3"/>
  <c r="AV484" i="3"/>
  <c r="AC484" i="3"/>
  <c r="H484" i="3"/>
  <c r="BT483" i="3"/>
  <c r="BS483" i="3"/>
  <c r="BR483" i="3"/>
  <c r="BQ483" i="3"/>
  <c r="BP483" i="3"/>
  <c r="BO483" i="3"/>
  <c r="BN483" i="3"/>
  <c r="BM483" i="3"/>
  <c r="BL483" i="3" s="1"/>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Z477" i="3" s="1"/>
  <c r="AX477" i="3"/>
  <c r="AW477" i="3"/>
  <c r="AV477" i="3"/>
  <c r="AC477" i="3"/>
  <c r="H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s="1"/>
  <c r="AZ474" i="3" s="1"/>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BT460" i="3"/>
  <c r="BS460" i="3"/>
  <c r="BR460" i="3"/>
  <c r="BQ460" i="3"/>
  <c r="BP460" i="3"/>
  <c r="BO460" i="3"/>
  <c r="BN460" i="3"/>
  <c r="BM460" i="3"/>
  <c r="BK460" i="3"/>
  <c r="BJ460" i="3"/>
  <c r="BI460" i="3"/>
  <c r="BH460" i="3"/>
  <c r="BG460" i="3"/>
  <c r="BF460" i="3"/>
  <c r="BE460" i="3"/>
  <c r="BD460" i="3"/>
  <c r="BC460" i="3"/>
  <c r="BB460" i="3"/>
  <c r="BA460" i="3"/>
  <c r="AX460" i="3"/>
  <c r="AW460" i="3"/>
  <c r="AV460" i="3"/>
  <c r="AC460" i="3"/>
  <c r="H460" i="3"/>
  <c r="BT459" i="3"/>
  <c r="BS459" i="3"/>
  <c r="BR459" i="3"/>
  <c r="BQ459" i="3"/>
  <c r="BP459" i="3"/>
  <c r="BO459" i="3"/>
  <c r="BN459" i="3"/>
  <c r="BM459" i="3"/>
  <c r="BL459" i="3"/>
  <c r="BK459" i="3"/>
  <c r="BJ459" i="3"/>
  <c r="BI459" i="3"/>
  <c r="BH459" i="3"/>
  <c r="BG459" i="3"/>
  <c r="BF459" i="3"/>
  <c r="BE459" i="3"/>
  <c r="BD459" i="3"/>
  <c r="BC459" i="3"/>
  <c r="BB459" i="3"/>
  <c r="BA459" i="3" s="1"/>
  <c r="AZ459" i="3" s="1"/>
  <c r="AX459" i="3"/>
  <c r="AW459" i="3"/>
  <c r="AV459" i="3"/>
  <c r="AC459" i="3"/>
  <c r="H459" i="3"/>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s="1"/>
  <c r="AX455" i="3"/>
  <c r="AW455" i="3"/>
  <c r="AV455" i="3"/>
  <c r="AC455" i="3"/>
  <c r="H455" i="3"/>
  <c r="BT454" i="3"/>
  <c r="BS454" i="3"/>
  <c r="BR454" i="3"/>
  <c r="BQ454" i="3"/>
  <c r="BP454" i="3"/>
  <c r="BO454" i="3"/>
  <c r="BN454" i="3"/>
  <c r="BM454" i="3"/>
  <c r="BL454" i="3" s="1"/>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X449" i="3"/>
  <c r="AW449" i="3"/>
  <c r="AV449" i="3"/>
  <c r="AC449" i="3"/>
  <c r="H449" i="3"/>
  <c r="BT448" i="3"/>
  <c r="BS448" i="3"/>
  <c r="BR448" i="3"/>
  <c r="BQ448" i="3"/>
  <c r="BP448" i="3"/>
  <c r="BO448" i="3"/>
  <c r="BN448" i="3"/>
  <c r="BM448" i="3"/>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Z444" i="3" s="1"/>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Z442" i="3" s="1"/>
  <c r="AX442" i="3"/>
  <c r="AW442" i="3"/>
  <c r="AV442" i="3"/>
  <c r="AC442" i="3"/>
  <c r="H442" i="3"/>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BT436" i="3"/>
  <c r="BS436" i="3"/>
  <c r="BR436" i="3"/>
  <c r="BQ436" i="3"/>
  <c r="BP436" i="3"/>
  <c r="BO436" i="3"/>
  <c r="BN436" i="3"/>
  <c r="BM436" i="3"/>
  <c r="BK436" i="3"/>
  <c r="BJ436" i="3"/>
  <c r="BI436" i="3"/>
  <c r="BH436" i="3"/>
  <c r="BG436" i="3"/>
  <c r="BF436" i="3"/>
  <c r="BE436" i="3"/>
  <c r="BD436" i="3"/>
  <c r="BC436" i="3"/>
  <c r="BB436" i="3"/>
  <c r="BA436" i="3"/>
  <c r="AX436" i="3"/>
  <c r="AW436" i="3"/>
  <c r="AV436" i="3"/>
  <c r="AC436" i="3"/>
  <c r="H436" i="3"/>
  <c r="BT435" i="3"/>
  <c r="BS435" i="3"/>
  <c r="BR435" i="3"/>
  <c r="BQ435" i="3"/>
  <c r="BP435" i="3"/>
  <c r="BO435" i="3"/>
  <c r="BN435" i="3"/>
  <c r="BM435" i="3"/>
  <c r="BL435" i="3"/>
  <c r="BK435" i="3"/>
  <c r="BJ435" i="3"/>
  <c r="BI435" i="3"/>
  <c r="BH435" i="3"/>
  <c r="BG435" i="3"/>
  <c r="BF435" i="3"/>
  <c r="BE435" i="3"/>
  <c r="BD435" i="3"/>
  <c r="BC435" i="3"/>
  <c r="BB435" i="3"/>
  <c r="BA435" i="3" s="1"/>
  <c r="AZ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BT427" i="3"/>
  <c r="BS427" i="3"/>
  <c r="BR427" i="3"/>
  <c r="BQ427" i="3"/>
  <c r="BP427" i="3"/>
  <c r="BO427" i="3"/>
  <c r="BN427" i="3"/>
  <c r="BM427" i="3"/>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s="1"/>
  <c r="AX426" i="3"/>
  <c r="AW426" i="3"/>
  <c r="AV426" i="3"/>
  <c r="AC426" i="3"/>
  <c r="H426" i="3"/>
  <c r="BT425" i="3"/>
  <c r="BS425" i="3"/>
  <c r="BR425" i="3"/>
  <c r="BQ425" i="3"/>
  <c r="BP425" i="3"/>
  <c r="BO425" i="3"/>
  <c r="BN425" i="3"/>
  <c r="BM425" i="3"/>
  <c r="BL425" i="3" s="1"/>
  <c r="BK425" i="3"/>
  <c r="BJ425" i="3"/>
  <c r="BI425" i="3"/>
  <c r="BH425" i="3"/>
  <c r="BG425" i="3"/>
  <c r="BF425" i="3"/>
  <c r="BE425" i="3"/>
  <c r="BD425" i="3"/>
  <c r="BC425" i="3"/>
  <c r="BB425" i="3"/>
  <c r="AX425" i="3"/>
  <c r="AW425" i="3"/>
  <c r="AV425" i="3"/>
  <c r="AC425" i="3"/>
  <c r="H425" i="3"/>
  <c r="G425" i="3" s="1"/>
  <c r="BT424" i="3"/>
  <c r="BS424" i="3"/>
  <c r="BR424" i="3"/>
  <c r="BQ424" i="3"/>
  <c r="BP424" i="3"/>
  <c r="BO424" i="3"/>
  <c r="BN424" i="3"/>
  <c r="BM424" i="3"/>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L421" i="3" s="1"/>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BA420" i="3"/>
  <c r="AX420" i="3"/>
  <c r="AW420" i="3"/>
  <c r="AV420" i="3"/>
  <c r="AC420" i="3"/>
  <c r="H420" i="3"/>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BT416" i="3"/>
  <c r="BS416" i="3"/>
  <c r="BR416" i="3"/>
  <c r="BQ416" i="3"/>
  <c r="BP416" i="3"/>
  <c r="BO416" i="3"/>
  <c r="BN416" i="3"/>
  <c r="BM416" i="3"/>
  <c r="BK416" i="3"/>
  <c r="BJ416" i="3"/>
  <c r="BI416" i="3"/>
  <c r="BH416" i="3"/>
  <c r="BG416" i="3"/>
  <c r="BF416" i="3"/>
  <c r="BE416" i="3"/>
  <c r="BD416" i="3"/>
  <c r="BC416" i="3"/>
  <c r="BB416" i="3"/>
  <c r="AX416" i="3"/>
  <c r="AW416" i="3"/>
  <c r="AV416" i="3"/>
  <c r="AC416" i="3"/>
  <c r="H416" i="3"/>
  <c r="G416" i="3" s="1"/>
  <c r="BT415" i="3"/>
  <c r="BS415" i="3"/>
  <c r="BR415" i="3"/>
  <c r="BQ415" i="3"/>
  <c r="BP415" i="3"/>
  <c r="BO415" i="3"/>
  <c r="BN415" i="3"/>
  <c r="BM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BT406" i="3"/>
  <c r="BS406" i="3"/>
  <c r="BR406" i="3"/>
  <c r="BQ406" i="3"/>
  <c r="BP406" i="3"/>
  <c r="BO406" i="3"/>
  <c r="BN406" i="3"/>
  <c r="BM406" i="3"/>
  <c r="BL406" i="3" s="1"/>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L402" i="3" s="1"/>
  <c r="BK402" i="3"/>
  <c r="BJ402" i="3"/>
  <c r="BI402" i="3"/>
  <c r="BH402" i="3"/>
  <c r="BG402" i="3"/>
  <c r="BF402" i="3"/>
  <c r="BE402" i="3"/>
  <c r="BD402" i="3"/>
  <c r="BC402" i="3"/>
  <c r="BB402" i="3"/>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BA398" i="3"/>
  <c r="AX398" i="3"/>
  <c r="AW398" i="3"/>
  <c r="AV398" i="3"/>
  <c r="AC398" i="3"/>
  <c r="H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B61" i="72"/>
  <c r="L20" i="4"/>
  <c r="A5" i="62"/>
  <c r="B72" i="72" s="1"/>
  <c r="A4" i="62"/>
  <c r="B70" i="72" s="1"/>
  <c r="F33" i="9"/>
  <c r="B13" i="53"/>
  <c r="B29" i="72" s="1"/>
  <c r="R35" i="4"/>
  <c r="Q35" i="4"/>
  <c r="P35" i="4"/>
  <c r="O35" i="4"/>
  <c r="N35" i="4"/>
  <c r="M35" i="4"/>
  <c r="L35" i="4"/>
  <c r="K34" i="4"/>
  <c r="T34" i="4" s="1"/>
  <c r="G13" i="1"/>
  <c r="H15" i="4"/>
  <c r="F9" i="1" s="1"/>
  <c r="G9" i="1" s="1"/>
  <c r="G15" i="4"/>
  <c r="F12" i="1" s="1"/>
  <c r="G12" i="1" s="1"/>
  <c r="F15" i="4"/>
  <c r="F11" i="1" s="1"/>
  <c r="G11" i="1" s="1"/>
  <c r="D15" i="4"/>
  <c r="F7" i="1" s="1"/>
  <c r="G7" i="1" s="1"/>
  <c r="C15" i="4"/>
  <c r="F6" i="1" s="1"/>
  <c r="G6" i="1" s="1"/>
  <c r="L21" i="4"/>
  <c r="F19" i="4"/>
  <c r="F2" i="52"/>
  <c r="B50" i="72" s="1"/>
  <c r="D2" i="52"/>
  <c r="B46" i="72" s="1"/>
  <c r="B8" i="53"/>
  <c r="B23" i="72" s="1"/>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F36" i="39" s="1"/>
  <c r="J30" i="36"/>
  <c r="H30" i="36"/>
  <c r="AB30" i="36" s="1"/>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D113" i="33"/>
  <c r="E113" i="33" s="1"/>
  <c r="F113" i="33" s="1"/>
  <c r="G113" i="33" s="1"/>
  <c r="H113" i="33" s="1"/>
  <c r="I113" i="33" s="1"/>
  <c r="J113" i="33" s="1"/>
  <c r="K113" i="33" s="1"/>
  <c r="L113" i="33" s="1"/>
  <c r="M113" i="33" s="1"/>
  <c r="F37" i="33"/>
  <c r="D111" i="33"/>
  <c r="E111" i="33" s="1"/>
  <c r="F111" i="33" s="1"/>
  <c r="G111" i="33" s="1"/>
  <c r="H111" i="33" s="1"/>
  <c r="I111" i="33" s="1"/>
  <c r="J111" i="33" s="1"/>
  <c r="K111" i="33" s="1"/>
  <c r="L111" i="33" s="1"/>
  <c r="M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c r="F76" i="40" s="1"/>
  <c r="G76" i="40" s="1"/>
  <c r="H76" i="40" s="1"/>
  <c r="I76" i="40" s="1"/>
  <c r="J76" i="40" s="1"/>
  <c r="K76" i="40" s="1"/>
  <c r="L76" i="40" s="1"/>
  <c r="M76" i="40" s="1"/>
  <c r="B120" i="40"/>
  <c r="J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F106" i="39" s="1"/>
  <c r="G106" i="39" s="1"/>
  <c r="H106" i="39" s="1"/>
  <c r="I106" i="39" s="1"/>
  <c r="J106" i="39" s="1"/>
  <c r="K106" i="39" s="1"/>
  <c r="L106" i="39" s="1"/>
  <c r="M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B110" i="37"/>
  <c r="J39" i="37" s="1"/>
  <c r="AC39" i="37" s="1"/>
  <c r="B108" i="37"/>
  <c r="C23" i="37"/>
  <c r="C19" i="37"/>
  <c r="C17" i="37"/>
  <c r="C15" i="37"/>
  <c r="B112" i="37"/>
  <c r="D107" i="37"/>
  <c r="E107" i="37" s="1"/>
  <c r="D105" i="37"/>
  <c r="E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B86" i="37"/>
  <c r="B84" i="37"/>
  <c r="H27" i="37" s="1"/>
  <c r="B82" i="37"/>
  <c r="D79" i="37"/>
  <c r="E79" i="37"/>
  <c r="D75" i="37"/>
  <c r="E75" i="37"/>
  <c r="D73" i="37"/>
  <c r="E73" i="37"/>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Q25" i="37"/>
  <c r="Z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J9" i="36" s="1"/>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s="1"/>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s="1"/>
  <c r="B73" i="35"/>
  <c r="F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s="1"/>
  <c r="Q34" i="35"/>
  <c r="Z34" i="35" s="1"/>
  <c r="F34" i="35"/>
  <c r="AA34" i="35" s="1"/>
  <c r="Q33" i="35"/>
  <c r="Z33" i="35" s="1"/>
  <c r="Q32" i="35"/>
  <c r="Z32" i="35" s="1"/>
  <c r="H32" i="35"/>
  <c r="AB32" i="35" s="1"/>
  <c r="F32" i="35"/>
  <c r="AA32" i="35" s="1"/>
  <c r="Q31" i="35"/>
  <c r="Z31" i="35" s="1"/>
  <c r="AC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F70" i="34" s="1"/>
  <c r="G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F27" i="33" s="1"/>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F54" i="33"/>
  <c r="P49" i="33"/>
  <c r="P48" i="33"/>
  <c r="V47" i="33"/>
  <c r="T47" i="33"/>
  <c r="R47" i="33"/>
  <c r="P47" i="33"/>
  <c r="Q46" i="33"/>
  <c r="Z46" i="33" s="1"/>
  <c r="Q45" i="33"/>
  <c r="Z45" i="33" s="1"/>
  <c r="Q44" i="33"/>
  <c r="Z44" i="33" s="1"/>
  <c r="Q43" i="33"/>
  <c r="Z43" i="33" s="1"/>
  <c r="Q42" i="33"/>
  <c r="Z42" i="33" s="1"/>
  <c r="J42" i="33"/>
  <c r="AC42" i="33" s="1"/>
  <c r="AC41" i="33"/>
  <c r="W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s="1"/>
  <c r="G15" i="20"/>
  <c r="B83" i="43" s="1"/>
  <c r="C24" i="20"/>
  <c r="B97" i="43" s="1"/>
  <c r="C21" i="20"/>
  <c r="B99" i="43" s="1"/>
  <c r="C20" i="20"/>
  <c r="B101" i="43" s="1"/>
  <c r="C18" i="20"/>
  <c r="B94" i="43" s="1"/>
  <c r="C17" i="20"/>
  <c r="B61" i="43" s="1"/>
  <c r="C16" i="20"/>
  <c r="C17" i="39" s="1"/>
  <c r="C15" i="20"/>
  <c r="B72"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s="1"/>
  <c r="F77" i="21" s="1"/>
  <c r="G77" i="21" s="1"/>
  <c r="B130" i="21"/>
  <c r="B128" i="21"/>
  <c r="J45" i="21" s="1"/>
  <c r="B126" i="21"/>
  <c r="B98" i="21"/>
  <c r="H31" i="21" s="1"/>
  <c r="B96" i="21"/>
  <c r="H30" i="21" s="1"/>
  <c r="B94" i="21"/>
  <c r="J29" i="21"/>
  <c r="AC29" i="21" s="1"/>
  <c r="B92" i="21"/>
  <c r="H28" i="21" s="1"/>
  <c r="B90" i="21"/>
  <c r="J27" i="21" s="1"/>
  <c r="W27" i="21" s="1"/>
  <c r="B74" i="21"/>
  <c r="J14" i="21" s="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J26" i="21"/>
  <c r="W26" i="21" s="1"/>
  <c r="F26" i="21"/>
  <c r="S26" i="21" s="1"/>
  <c r="AB41" i="21"/>
  <c r="S41" i="21"/>
  <c r="AA41" i="21"/>
  <c r="F45" i="39"/>
  <c r="S45" i="39"/>
  <c r="J45" i="39"/>
  <c r="W45" i="39"/>
  <c r="J44" i="39"/>
  <c r="AC44" i="39"/>
  <c r="J35" i="39"/>
  <c r="AC35" i="39"/>
  <c r="F35" i="39"/>
  <c r="AA35" i="39"/>
  <c r="U9" i="39"/>
  <c r="W40" i="39"/>
  <c r="U30" i="37"/>
  <c r="E103" i="37"/>
  <c r="F103" i="37" s="1"/>
  <c r="G103" i="37" s="1"/>
  <c r="H103" i="37" s="1"/>
  <c r="I103" i="37" s="1"/>
  <c r="J103" i="37" s="1"/>
  <c r="K103" i="37" s="1"/>
  <c r="L103" i="37" s="1"/>
  <c r="M103" i="37" s="1"/>
  <c r="F39" i="37"/>
  <c r="S39" i="37"/>
  <c r="F29" i="36"/>
  <c r="AA29" i="36" s="1"/>
  <c r="F16" i="36"/>
  <c r="AA16" i="36" s="1"/>
  <c r="W28" i="36"/>
  <c r="J33" i="36"/>
  <c r="AC33" i="36" s="1"/>
  <c r="H22" i="35"/>
  <c r="AB22" i="35" s="1"/>
  <c r="AC27" i="35"/>
  <c r="W28" i="35"/>
  <c r="S34" i="35"/>
  <c r="W36" i="35"/>
  <c r="W22" i="35"/>
  <c r="S31" i="35"/>
  <c r="F36" i="34"/>
  <c r="J35" i="34"/>
  <c r="W9" i="34"/>
  <c r="U34" i="34"/>
  <c r="H39" i="33"/>
  <c r="AB39" i="33" s="1"/>
  <c r="F26" i="33"/>
  <c r="AA26" i="33" s="1"/>
  <c r="U33" i="33"/>
  <c r="S40" i="33"/>
  <c r="W39" i="33"/>
  <c r="H39" i="37"/>
  <c r="AB39" i="37" s="1"/>
  <c r="S27" i="35"/>
  <c r="F11" i="40"/>
  <c r="AA11" i="40" s="1"/>
  <c r="H11" i="40"/>
  <c r="AB11" i="40" s="1"/>
  <c r="W8" i="40"/>
  <c r="AA9" i="40"/>
  <c r="AC9" i="40"/>
  <c r="U9" i="40"/>
  <c r="S34" i="40"/>
  <c r="U34" i="40"/>
  <c r="F42" i="39"/>
  <c r="AA42" i="39" s="1"/>
  <c r="F41" i="39"/>
  <c r="S41" i="39" s="1"/>
  <c r="H40" i="39"/>
  <c r="AB40" i="39" s="1"/>
  <c r="H39" i="39"/>
  <c r="U39" i="39" s="1"/>
  <c r="S38" i="39"/>
  <c r="S34" i="39"/>
  <c r="H34" i="39"/>
  <c r="U34" i="39" s="1"/>
  <c r="E108" i="39"/>
  <c r="F108" i="39" s="1"/>
  <c r="G108" i="39" s="1"/>
  <c r="H108" i="39" s="1"/>
  <c r="I108" i="39" s="1"/>
  <c r="J108" i="39" s="1"/>
  <c r="K108" i="39" s="1"/>
  <c r="L108" i="39" s="1"/>
  <c r="M108" i="39" s="1"/>
  <c r="E100" i="39"/>
  <c r="H19" i="39"/>
  <c r="AB19" i="39" s="1"/>
  <c r="F19" i="39"/>
  <c r="AA19" i="39" s="1"/>
  <c r="H17" i="39"/>
  <c r="AB17" i="39" s="1"/>
  <c r="F17" i="39"/>
  <c r="AA17" i="39" s="1"/>
  <c r="J23" i="40"/>
  <c r="AC23" i="40" s="1"/>
  <c r="F21" i="40"/>
  <c r="AA21" i="40" s="1"/>
  <c r="J21" i="40"/>
  <c r="W21" i="40" s="1"/>
  <c r="H42" i="39"/>
  <c r="AB42" i="39" s="1"/>
  <c r="J34" i="39"/>
  <c r="AC34" i="39" s="1"/>
  <c r="F100" i="39"/>
  <c r="G100" i="39" s="1"/>
  <c r="H27" i="39"/>
  <c r="U27" i="39" s="1"/>
  <c r="J19" i="39"/>
  <c r="AC19" i="39" s="1"/>
  <c r="J17" i="39"/>
  <c r="J27" i="39"/>
  <c r="AC27" i="39" s="1"/>
  <c r="F27" i="39"/>
  <c r="F11" i="21"/>
  <c r="S11" i="21" s="1"/>
  <c r="C25" i="39"/>
  <c r="C27" i="39"/>
  <c r="C21" i="39"/>
  <c r="H11" i="39"/>
  <c r="S40" i="39"/>
  <c r="C15" i="39"/>
  <c r="H32" i="33"/>
  <c r="AB32" i="33"/>
  <c r="H11" i="21"/>
  <c r="U11" i="21" s="1"/>
  <c r="J11" i="21"/>
  <c r="W11" i="21" s="1"/>
  <c r="H37" i="40"/>
  <c r="U37" i="40" s="1"/>
  <c r="H36" i="40"/>
  <c r="AB36" i="40" s="1"/>
  <c r="F35" i="40"/>
  <c r="AA35" i="40" s="1"/>
  <c r="H23" i="40"/>
  <c r="AB23" i="40" s="1"/>
  <c r="H17" i="40"/>
  <c r="U17" i="40" s="1"/>
  <c r="J15" i="40"/>
  <c r="W15" i="40" s="1"/>
  <c r="J11" i="40"/>
  <c r="W11" i="40" s="1"/>
  <c r="AB12" i="33"/>
  <c r="AB12" i="35"/>
  <c r="F37" i="39"/>
  <c r="AA37" i="39"/>
  <c r="J34" i="36"/>
  <c r="W34" i="36" s="1"/>
  <c r="U30" i="36"/>
  <c r="J30" i="35"/>
  <c r="W30" i="35" s="1"/>
  <c r="H30" i="35"/>
  <c r="AB30" i="35" s="1"/>
  <c r="F22" i="35"/>
  <c r="AA22" i="35"/>
  <c r="H10" i="35"/>
  <c r="U10" i="35" s="1"/>
  <c r="AC16" i="36"/>
  <c r="F33" i="36"/>
  <c r="AA33" i="36"/>
  <c r="W30" i="36"/>
  <c r="H16" i="36"/>
  <c r="AB16" i="36" s="1"/>
  <c r="E85" i="36"/>
  <c r="F85" i="36" s="1"/>
  <c r="G85" i="36" s="1"/>
  <c r="H85" i="36" s="1"/>
  <c r="I85" i="36" s="1"/>
  <c r="J85" i="36" s="1"/>
  <c r="K85" i="36" s="1"/>
  <c r="L85" i="36" s="1"/>
  <c r="M85" i="36" s="1"/>
  <c r="J29" i="36"/>
  <c r="AC29" i="36" s="1"/>
  <c r="F12" i="36"/>
  <c r="S12" i="36" s="1"/>
  <c r="F34" i="36"/>
  <c r="S34" i="36" s="1"/>
  <c r="F14" i="35"/>
  <c r="AA14" i="35" s="1"/>
  <c r="J32" i="35"/>
  <c r="AC32" i="35" s="1"/>
  <c r="J16" i="35"/>
  <c r="AC16" i="35" s="1"/>
  <c r="H16" i="35"/>
  <c r="U16" i="35" s="1"/>
  <c r="F16" i="35"/>
  <c r="S16" i="35" s="1"/>
  <c r="H14" i="35"/>
  <c r="AB14" i="35" s="1"/>
  <c r="J29" i="35"/>
  <c r="W29" i="35" s="1"/>
  <c r="H33" i="35"/>
  <c r="AB33" i="35" s="1"/>
  <c r="J20" i="35"/>
  <c r="W20" i="35" s="1"/>
  <c r="F35" i="37"/>
  <c r="S35" i="37" s="1"/>
  <c r="E101" i="37"/>
  <c r="F101" i="37" s="1"/>
  <c r="G101" i="37" s="1"/>
  <c r="H101" i="37" s="1"/>
  <c r="I101" i="37" s="1"/>
  <c r="J101" i="37" s="1"/>
  <c r="K101" i="37" s="1"/>
  <c r="L101" i="37" s="1"/>
  <c r="M101" i="37" s="1"/>
  <c r="J34" i="37"/>
  <c r="W34" i="37" s="1"/>
  <c r="AA39" i="37"/>
  <c r="AB34" i="37"/>
  <c r="J33" i="37"/>
  <c r="AC33" i="37" s="1"/>
  <c r="U42" i="34"/>
  <c r="H40" i="34"/>
  <c r="U40" i="34" s="1"/>
  <c r="E114" i="34"/>
  <c r="F114" i="34" s="1"/>
  <c r="G114" i="34" s="1"/>
  <c r="H114" i="34" s="1"/>
  <c r="I114" i="34" s="1"/>
  <c r="J114" i="34" s="1"/>
  <c r="K114" i="34" s="1"/>
  <c r="L114" i="34" s="1"/>
  <c r="M114" i="34" s="1"/>
  <c r="H36" i="34"/>
  <c r="U36" i="34"/>
  <c r="F37" i="34"/>
  <c r="AA37" i="34" s="1"/>
  <c r="S35" i="34"/>
  <c r="F28" i="34"/>
  <c r="AA28" i="34"/>
  <c r="F25" i="34"/>
  <c r="S25" i="34"/>
  <c r="H23" i="34"/>
  <c r="U23" i="34"/>
  <c r="J23" i="34"/>
  <c r="F19" i="34"/>
  <c r="H17" i="34"/>
  <c r="U17" i="34" s="1"/>
  <c r="F15" i="34"/>
  <c r="J15" i="34"/>
  <c r="AC15" i="34" s="1"/>
  <c r="H15" i="34"/>
  <c r="AB15" i="34" s="1"/>
  <c r="W8" i="34"/>
  <c r="J28" i="34"/>
  <c r="W28" i="34" s="1"/>
  <c r="F41" i="33"/>
  <c r="AA41" i="33" s="1"/>
  <c r="S38"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s="1"/>
  <c r="F15" i="40"/>
  <c r="S15" i="40" s="1"/>
  <c r="H15" i="40"/>
  <c r="AB15" i="40" s="1"/>
  <c r="AC11" i="40"/>
  <c r="AA12" i="36"/>
  <c r="U33" i="35"/>
  <c r="F29" i="35"/>
  <c r="S29" i="35" s="1"/>
  <c r="H29" i="35"/>
  <c r="AB29" i="35" s="1"/>
  <c r="H33" i="37"/>
  <c r="AB33" i="37" s="1"/>
  <c r="F33" i="37"/>
  <c r="AA33" i="37" s="1"/>
  <c r="U34" i="37"/>
  <c r="S34" i="37"/>
  <c r="AA34" i="37"/>
  <c r="J43" i="34"/>
  <c r="AB42"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H37" i="33"/>
  <c r="AB37" i="33" s="1"/>
  <c r="H15" i="33"/>
  <c r="AB15" i="33" s="1"/>
  <c r="H11" i="33"/>
  <c r="AB11" i="33" s="1"/>
  <c r="F28" i="40"/>
  <c r="AA28" i="40" s="1"/>
  <c r="AA29" i="35"/>
  <c r="AA42" i="34"/>
  <c r="S42" i="34"/>
  <c r="AC38" i="34"/>
  <c r="AA38" i="34"/>
  <c r="J37" i="34"/>
  <c r="AC37" i="34" s="1"/>
  <c r="J11" i="33"/>
  <c r="W11" i="33" s="1"/>
  <c r="S28" i="34"/>
  <c r="U23" i="40"/>
  <c r="J42" i="21"/>
  <c r="AC42" i="21" s="1"/>
  <c r="H42" i="21"/>
  <c r="U42" i="21" s="1"/>
  <c r="J44" i="34"/>
  <c r="W44" i="34" s="1"/>
  <c r="F44" i="34"/>
  <c r="AA44" i="34" s="1"/>
  <c r="J10" i="35"/>
  <c r="AC10" i="35" s="1"/>
  <c r="BL587" i="3"/>
  <c r="J44" i="21"/>
  <c r="AC44" i="21" s="1"/>
  <c r="H44" i="21"/>
  <c r="U44" i="21" s="1"/>
  <c r="F44" i="21"/>
  <c r="AA44" i="21" s="1"/>
  <c r="H46" i="21"/>
  <c r="U46" i="21"/>
  <c r="J46" i="21"/>
  <c r="W46" i="21"/>
  <c r="F46" i="21"/>
  <c r="AA46" i="21"/>
  <c r="E119" i="21"/>
  <c r="F119" i="2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c r="H27" i="21"/>
  <c r="AB27" i="21" s="1"/>
  <c r="F27" i="21"/>
  <c r="AA27" i="21" s="1"/>
  <c r="H29" i="21"/>
  <c r="U29" i="21"/>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F11" i="35"/>
  <c r="S11" i="35" s="1"/>
  <c r="J26" i="36"/>
  <c r="W26" i="36" s="1"/>
  <c r="H28" i="36"/>
  <c r="U28" i="36" s="1"/>
  <c r="H32" i="36"/>
  <c r="AB32" i="36" s="1"/>
  <c r="J32" i="36"/>
  <c r="W32" i="36" s="1"/>
  <c r="J11" i="36"/>
  <c r="AC11" i="36" s="1"/>
  <c r="H11" i="36"/>
  <c r="U11" i="36" s="1"/>
  <c r="F11" i="36"/>
  <c r="AA11" i="36" s="1"/>
  <c r="H13" i="36"/>
  <c r="AB13" i="36" s="1"/>
  <c r="J13" i="36"/>
  <c r="W13" i="36" s="1"/>
  <c r="F13" i="36"/>
  <c r="S13" i="36" s="1"/>
  <c r="E89" i="37"/>
  <c r="F89" i="37" s="1"/>
  <c r="G89" i="37" s="1"/>
  <c r="H89" i="37" s="1"/>
  <c r="I89" i="37" s="1"/>
  <c r="J89" i="37" s="1"/>
  <c r="K89" i="37" s="1"/>
  <c r="L89" i="37" s="1"/>
  <c r="M89" i="37" s="1"/>
  <c r="J29" i="37"/>
  <c r="W29" i="37"/>
  <c r="F29" i="37"/>
  <c r="S29" i="37"/>
  <c r="F105" i="37"/>
  <c r="H36" i="37"/>
  <c r="AB36" i="37" s="1"/>
  <c r="F107" i="37"/>
  <c r="J37" i="37"/>
  <c r="AC37" i="37" s="1"/>
  <c r="H37" i="37"/>
  <c r="U37" i="37" s="1"/>
  <c r="H40" i="37"/>
  <c r="U40" i="37" s="1"/>
  <c r="J40" i="37"/>
  <c r="AC40" i="37" s="1"/>
  <c r="F40" i="37"/>
  <c r="AA40" i="37" s="1"/>
  <c r="AC12" i="40"/>
  <c r="W12" i="40"/>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c r="J14" i="40"/>
  <c r="W14" i="40"/>
  <c r="F14" i="40"/>
  <c r="AA14" i="40"/>
  <c r="J14" i="37"/>
  <c r="AC14" i="37"/>
  <c r="J27" i="37"/>
  <c r="AC27" i="37"/>
  <c r="AA13" i="35"/>
  <c r="U46" i="33"/>
  <c r="J36" i="37"/>
  <c r="AC36" i="37" s="1"/>
  <c r="G105" i="37"/>
  <c r="J10" i="36"/>
  <c r="AC10" i="36" s="1"/>
  <c r="AB26" i="33"/>
  <c r="W31" i="34"/>
  <c r="S11" i="36"/>
  <c r="AB46" i="34"/>
  <c r="AC30" i="34"/>
  <c r="AA14" i="34"/>
  <c r="S45" i="33"/>
  <c r="AB45" i="33"/>
  <c r="AB31" i="33"/>
  <c r="U31" i="33"/>
  <c r="W29" i="33"/>
  <c r="S44" i="34"/>
  <c r="BA585" i="3"/>
  <c r="F17" i="21"/>
  <c r="AA17" i="21" s="1"/>
  <c r="H17" i="21"/>
  <c r="AB17" i="21" s="1"/>
  <c r="F15" i="21"/>
  <c r="S15" i="21" s="1"/>
  <c r="J41" i="39"/>
  <c r="W41" i="39" s="1"/>
  <c r="AC45"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BA556" i="3"/>
  <c r="AZ556" i="3" s="1"/>
  <c r="BA554" i="3"/>
  <c r="AZ554" i="3" s="1"/>
  <c r="BA552" i="3"/>
  <c r="BA548" i="3"/>
  <c r="BA546" i="3"/>
  <c r="BA544" i="3"/>
  <c r="AZ544" i="3" s="1"/>
  <c r="BA542" i="3"/>
  <c r="AZ542" i="3" s="1"/>
  <c r="BA540" i="3"/>
  <c r="BA538" i="3"/>
  <c r="BA536" i="3"/>
  <c r="AZ536" i="3" s="1"/>
  <c r="BA534" i="3"/>
  <c r="AZ534" i="3" s="1"/>
  <c r="BA532" i="3"/>
  <c r="AZ532" i="3" s="1"/>
  <c r="BA530" i="3"/>
  <c r="BA528" i="3"/>
  <c r="AZ528" i="3" s="1"/>
  <c r="BA526" i="3"/>
  <c r="AZ526" i="3" s="1"/>
  <c r="BA524" i="3"/>
  <c r="AZ524" i="3" s="1"/>
  <c r="BA522" i="3"/>
  <c r="BA520" i="3"/>
  <c r="BA518" i="3"/>
  <c r="AZ518" i="3" s="1"/>
  <c r="BA516" i="3"/>
  <c r="AZ516" i="3" s="1"/>
  <c r="BA514" i="3"/>
  <c r="BA512" i="3"/>
  <c r="BA510" i="3"/>
  <c r="BA508" i="3"/>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AZ557" i="3" s="1"/>
  <c r="BQ583" i="3"/>
  <c r="BL583" i="3" s="1"/>
  <c r="BQ581" i="3"/>
  <c r="BL581" i="3" s="1"/>
  <c r="AZ581" i="3" s="1"/>
  <c r="BQ579" i="3"/>
  <c r="BL579" i="3" s="1"/>
  <c r="AZ579" i="3" s="1"/>
  <c r="BQ577" i="3"/>
  <c r="BL577" i="3" s="1"/>
  <c r="BQ575" i="3"/>
  <c r="BL575" i="3" s="1"/>
  <c r="AZ575" i="3" s="1"/>
  <c r="BQ573" i="3"/>
  <c r="BL573" i="3"/>
  <c r="BQ571" i="3"/>
  <c r="BL571" i="3" s="1"/>
  <c r="BQ569" i="3"/>
  <c r="BL569" i="3" s="1"/>
  <c r="BQ567" i="3"/>
  <c r="BL567" i="3" s="1"/>
  <c r="BQ565" i="3"/>
  <c r="BL565" i="3" s="1"/>
  <c r="BQ563" i="3"/>
  <c r="BL563" i="3" s="1"/>
  <c r="AZ563" i="3" s="1"/>
  <c r="BQ561" i="3"/>
  <c r="BL561" i="3" s="1"/>
  <c r="AZ561" i="3" s="1"/>
  <c r="BQ559" i="3"/>
  <c r="BL559" i="3" s="1"/>
  <c r="AZ559" i="3" s="1"/>
  <c r="G559" i="3"/>
  <c r="G555" i="3"/>
  <c r="G553" i="3"/>
  <c r="G549" i="3"/>
  <c r="G547" i="3"/>
  <c r="G545" i="3"/>
  <c r="G543" i="3"/>
  <c r="G541" i="3"/>
  <c r="G539" i="3"/>
  <c r="G537" i="3"/>
  <c r="BQ555" i="3"/>
  <c r="BL555" i="3" s="1"/>
  <c r="BQ553" i="3"/>
  <c r="BL553" i="3" s="1"/>
  <c r="BQ551" i="3"/>
  <c r="BL551" i="3" s="1"/>
  <c r="BQ549" i="3"/>
  <c r="BQ547" i="3"/>
  <c r="BL547" i="3" s="1"/>
  <c r="AZ547" i="3" s="1"/>
  <c r="BQ545" i="3"/>
  <c r="BL545" i="3" s="1"/>
  <c r="AZ545" i="3" s="1"/>
  <c r="BQ543" i="3"/>
  <c r="BL543" i="3" s="1"/>
  <c r="AZ543" i="3" s="1"/>
  <c r="BQ541" i="3"/>
  <c r="BL541" i="3" s="1"/>
  <c r="BQ539" i="3"/>
  <c r="BL539" i="3" s="1"/>
  <c r="BQ537" i="3"/>
  <c r="BL537" i="3" s="1"/>
  <c r="AZ537" i="3" s="1"/>
  <c r="BQ535" i="3"/>
  <c r="BL535" i="3"/>
  <c r="AZ535" i="3" s="1"/>
  <c r="BQ533" i="3"/>
  <c r="BL533" i="3" s="1"/>
  <c r="BQ531" i="3"/>
  <c r="BL531" i="3" s="1"/>
  <c r="AZ531" i="3" s="1"/>
  <c r="BQ529" i="3"/>
  <c r="BL529" i="3" s="1"/>
  <c r="AZ529" i="3" s="1"/>
  <c r="BQ527" i="3"/>
  <c r="BL527" i="3" s="1"/>
  <c r="AZ527" i="3" s="1"/>
  <c r="BQ525" i="3"/>
  <c r="BL525" i="3" s="1"/>
  <c r="BQ523" i="3"/>
  <c r="BL523" i="3" s="1"/>
  <c r="BA521" i="3"/>
  <c r="AC521" i="3"/>
  <c r="G521" i="3" s="1"/>
  <c r="BQ521" i="3"/>
  <c r="BL521" i="3" s="1"/>
  <c r="BL520" i="3"/>
  <c r="G519" i="3"/>
  <c r="G517" i="3"/>
  <c r="G515" i="3"/>
  <c r="G513" i="3"/>
  <c r="G511" i="3"/>
  <c r="BQ519" i="3"/>
  <c r="BL519" i="3"/>
  <c r="BQ517" i="3"/>
  <c r="BL517" i="3" s="1"/>
  <c r="BQ515" i="3"/>
  <c r="BL515" i="3" s="1"/>
  <c r="BQ513" i="3"/>
  <c r="BL513" i="3" s="1"/>
  <c r="BQ511" i="3"/>
  <c r="BL511" i="3" s="1"/>
  <c r="BA509" i="3"/>
  <c r="AC509" i="3"/>
  <c r="BQ509" i="3"/>
  <c r="BL509" i="3" s="1"/>
  <c r="AZ509" i="3" s="1"/>
  <c r="BL508" i="3"/>
  <c r="G507" i="3"/>
  <c r="G505" i="3"/>
  <c r="G503" i="3"/>
  <c r="G501" i="3"/>
  <c r="G499" i="3"/>
  <c r="G497" i="3"/>
  <c r="G495" i="3"/>
  <c r="BQ507" i="3"/>
  <c r="BL507" i="3" s="1"/>
  <c r="BQ505" i="3"/>
  <c r="BL505" i="3" s="1"/>
  <c r="AZ505" i="3" s="1"/>
  <c r="BQ503" i="3"/>
  <c r="BL503" i="3"/>
  <c r="AZ503" i="3" s="1"/>
  <c r="BQ501" i="3"/>
  <c r="BL501" i="3" s="1"/>
  <c r="BQ499" i="3"/>
  <c r="BL499" i="3" s="1"/>
  <c r="AZ499" i="3" s="1"/>
  <c r="BQ497" i="3"/>
  <c r="BL497" i="3" s="1"/>
  <c r="BQ495" i="3"/>
  <c r="BL495" i="3" s="1"/>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H25" i="21"/>
  <c r="U25" i="21" s="1"/>
  <c r="F25" i="21"/>
  <c r="S25" i="21" s="1"/>
  <c r="J25" i="21"/>
  <c r="AC25" i="21" s="1"/>
  <c r="E125" i="33"/>
  <c r="F125" i="33" s="1"/>
  <c r="G125" i="33" s="1"/>
  <c r="H43" i="33"/>
  <c r="AB43" i="33" s="1"/>
  <c r="H17" i="37"/>
  <c r="U17" i="37" s="1"/>
  <c r="U32" i="33"/>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H42" i="33"/>
  <c r="AB42" i="33"/>
  <c r="J43" i="33"/>
  <c r="AC43" i="33" s="1"/>
  <c r="U43" i="33"/>
  <c r="S28" i="31"/>
  <c r="S27" i="31"/>
  <c r="S26" i="31"/>
  <c r="U14" i="40"/>
  <c r="U35" i="35"/>
  <c r="W14" i="37"/>
  <c r="AB28" i="37"/>
  <c r="U33" i="37"/>
  <c r="U39" i="37"/>
  <c r="W47" i="34"/>
  <c r="AB13" i="34"/>
  <c r="AC36" i="34"/>
  <c r="AA13" i="33"/>
  <c r="AC31" i="33"/>
  <c r="AC45" i="33"/>
  <c r="W44" i="33"/>
  <c r="U11" i="33"/>
  <c r="U19" i="21"/>
  <c r="AC46" i="21"/>
  <c r="F43" i="33"/>
  <c r="AA43" i="33" s="1"/>
  <c r="W15" i="34"/>
  <c r="W16" i="35"/>
  <c r="W40" i="37"/>
  <c r="G107" i="37"/>
  <c r="H107" i="37" s="1"/>
  <c r="I107" i="37" s="1"/>
  <c r="J107" i="37" s="1"/>
  <c r="K107" i="37" s="1"/>
  <c r="L107" i="37" s="1"/>
  <c r="M107" i="37" s="1"/>
  <c r="H37" i="21"/>
  <c r="U37" i="21" s="1"/>
  <c r="H19" i="34"/>
  <c r="AB19" i="34" s="1"/>
  <c r="F36" i="35"/>
  <c r="S36" i="35" s="1"/>
  <c r="J9" i="37"/>
  <c r="W9" i="37" s="1"/>
  <c r="H9" i="37"/>
  <c r="U9" i="37" s="1"/>
  <c r="F9" i="37"/>
  <c r="S9" i="37" s="1"/>
  <c r="J12" i="37"/>
  <c r="W12" i="37" s="1"/>
  <c r="H12" i="37"/>
  <c r="AB12" i="37" s="1"/>
  <c r="F12" i="37"/>
  <c r="S12" i="37" s="1"/>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H5" i="3"/>
  <c r="AA25" i="21"/>
  <c r="H19" i="40"/>
  <c r="U19" i="40" s="1"/>
  <c r="F88" i="40"/>
  <c r="G88" i="40" s="1"/>
  <c r="F19" i="40"/>
  <c r="S19" i="40" s="1"/>
  <c r="S14" i="40"/>
  <c r="AC13" i="40"/>
  <c r="W23" i="39"/>
  <c r="AC43" i="39"/>
  <c r="W43" i="39"/>
  <c r="U45" i="39"/>
  <c r="AB45" i="39"/>
  <c r="H37" i="39"/>
  <c r="AB37" i="39" s="1"/>
  <c r="AC37" i="39"/>
  <c r="W37" i="39"/>
  <c r="H25" i="39"/>
  <c r="AB25" i="39" s="1"/>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7"/>
  <c r="C7" i="34"/>
  <c r="C7" i="36"/>
  <c r="A118" i="9"/>
  <c r="A4" i="52"/>
  <c r="B41" i="72" s="1"/>
  <c r="J11" i="39"/>
  <c r="W11" i="39" s="1"/>
  <c r="F11" i="39"/>
  <c r="AA11" i="39" s="1"/>
  <c r="S11" i="39"/>
  <c r="G4" i="4"/>
  <c r="I4" i="4"/>
  <c r="A2" i="9"/>
  <c r="F61" i="43"/>
  <c r="H64" i="43" s="1"/>
  <c r="AZ32" i="3"/>
  <c r="BL549" i="3"/>
  <c r="AZ494" i="3"/>
  <c r="AZ502" i="3"/>
  <c r="AZ522" i="3"/>
  <c r="AZ546" i="3"/>
  <c r="G546"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BL341" i="3"/>
  <c r="BA343" i="3"/>
  <c r="BA345" i="3"/>
  <c r="BL355" i="3"/>
  <c r="G356" i="3"/>
  <c r="BL357" i="3"/>
  <c r="BA359" i="3"/>
  <c r="BA360" i="3"/>
  <c r="BL360" i="3"/>
  <c r="G361" i="3"/>
  <c r="BA362" i="3"/>
  <c r="G370" i="3"/>
  <c r="BL371" i="3"/>
  <c r="G372" i="3"/>
  <c r="BL373" i="3"/>
  <c r="BA375" i="3"/>
  <c r="AZ375" i="3" s="1"/>
  <c r="BA376" i="3"/>
  <c r="AZ376" i="3" s="1"/>
  <c r="BL376" i="3"/>
  <c r="G377" i="3"/>
  <c r="BA378" i="3"/>
  <c r="BL378" i="3"/>
  <c r="G379" i="3"/>
  <c r="BA380" i="3"/>
  <c r="G388" i="3"/>
  <c r="BL389" i="3"/>
  <c r="G390" i="3"/>
  <c r="BL391" i="3"/>
  <c r="BA393" i="3"/>
  <c r="AZ393" i="3"/>
  <c r="BA394" i="3"/>
  <c r="BL394" i="3"/>
  <c r="AZ394" i="3" s="1"/>
  <c r="G113" i="3"/>
  <c r="BA115" i="3"/>
  <c r="BL116" i="3"/>
  <c r="AZ116" i="3" s="1"/>
  <c r="G117" i="3"/>
  <c r="BA119" i="3"/>
  <c r="BL120" i="3"/>
  <c r="G121" i="3"/>
  <c r="BA123" i="3"/>
  <c r="AZ123" i="3" s="1"/>
  <c r="BL124" i="3"/>
  <c r="G125" i="3"/>
  <c r="BA127" i="3"/>
  <c r="AZ127" i="3" s="1"/>
  <c r="BL128" i="3"/>
  <c r="AZ128" i="3" s="1"/>
  <c r="G129" i="3"/>
  <c r="BA131" i="3"/>
  <c r="AZ131" i="3" s="1"/>
  <c r="BL132" i="3"/>
  <c r="AZ132" i="3" s="1"/>
  <c r="G133" i="3"/>
  <c r="BA135" i="3"/>
  <c r="BL136" i="3"/>
  <c r="G137" i="3"/>
  <c r="BA139" i="3"/>
  <c r="BL140" i="3"/>
  <c r="AZ140" i="3" s="1"/>
  <c r="G141" i="3"/>
  <c r="BA143" i="3"/>
  <c r="BL144" i="3"/>
  <c r="AZ144" i="3" s="1"/>
  <c r="G145" i="3"/>
  <c r="BA147" i="3"/>
  <c r="BL148" i="3"/>
  <c r="AZ148" i="3" s="1"/>
  <c r="G149" i="3"/>
  <c r="BA151" i="3"/>
  <c r="BL152" i="3"/>
  <c r="G153" i="3"/>
  <c r="BA155" i="3"/>
  <c r="AZ155" i="3"/>
  <c r="BL156" i="3"/>
  <c r="G157" i="3"/>
  <c r="BA159" i="3"/>
  <c r="BL160" i="3"/>
  <c r="G161" i="3"/>
  <c r="BA163" i="3"/>
  <c r="BL164" i="3"/>
  <c r="G165" i="3"/>
  <c r="BA167" i="3"/>
  <c r="AZ167" i="3" s="1"/>
  <c r="BL168" i="3"/>
  <c r="G169" i="3"/>
  <c r="BA171" i="3"/>
  <c r="AZ171" i="3" s="1"/>
  <c r="BL172" i="3"/>
  <c r="AZ172" i="3" s="1"/>
  <c r="G173" i="3"/>
  <c r="BA175" i="3"/>
  <c r="BL176" i="3"/>
  <c r="AZ176" i="3" s="1"/>
  <c r="G177" i="3"/>
  <c r="BA179" i="3"/>
  <c r="BL180" i="3"/>
  <c r="AZ180" i="3" s="1"/>
  <c r="G181" i="3"/>
  <c r="BA183" i="3"/>
  <c r="BL184" i="3"/>
  <c r="G185" i="3"/>
  <c r="BA187" i="3"/>
  <c r="AZ187" i="3" s="1"/>
  <c r="BL188" i="3"/>
  <c r="G189" i="3"/>
  <c r="BA191" i="3"/>
  <c r="BL192" i="3"/>
  <c r="G193" i="3"/>
  <c r="BA195" i="3"/>
  <c r="BL196" i="3"/>
  <c r="G197" i="3"/>
  <c r="BA199" i="3"/>
  <c r="AZ199" i="3" s="1"/>
  <c r="BL200" i="3"/>
  <c r="G201" i="3"/>
  <c r="BA203" i="3"/>
  <c r="AZ203" i="3" s="1"/>
  <c r="BL204" i="3"/>
  <c r="AZ204" i="3" s="1"/>
  <c r="AZ39" i="3"/>
  <c r="AZ43" i="3"/>
  <c r="AZ47" i="3"/>
  <c r="AZ136"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AZ355" i="3" s="1"/>
  <c r="BA356" i="3"/>
  <c r="BL356" i="3"/>
  <c r="G357" i="3"/>
  <c r="G360" i="3"/>
  <c r="BL361" i="3"/>
  <c r="BA363" i="3"/>
  <c r="BA364" i="3"/>
  <c r="AZ364" i="3" s="1"/>
  <c r="BL364" i="3"/>
  <c r="G365" i="3"/>
  <c r="G368" i="3"/>
  <c r="BL369" i="3"/>
  <c r="BA371" i="3"/>
  <c r="AZ371" i="3"/>
  <c r="BA372" i="3"/>
  <c r="AZ372" i="3"/>
  <c r="BL372" i="3"/>
  <c r="G373" i="3"/>
  <c r="G376" i="3"/>
  <c r="BL377" i="3"/>
  <c r="BL379" i="3"/>
  <c r="BA381" i="3"/>
  <c r="AZ381" i="3" s="1"/>
  <c r="BA382" i="3"/>
  <c r="BL382" i="3"/>
  <c r="G383" i="3"/>
  <c r="G386" i="3"/>
  <c r="BL387" i="3"/>
  <c r="BA389" i="3"/>
  <c r="AZ389" i="3" s="1"/>
  <c r="BA390" i="3"/>
  <c r="BL390" i="3"/>
  <c r="G391" i="3"/>
  <c r="G394" i="3"/>
  <c r="AZ170" i="3"/>
  <c r="AZ202" i="3"/>
  <c r="AZ206" i="3"/>
  <c r="AZ500" i="3"/>
  <c r="BA16" i="3"/>
  <c r="BL303" i="3"/>
  <c r="AZ303" i="3" s="1"/>
  <c r="G304" i="3"/>
  <c r="BA306" i="3"/>
  <c r="AZ306" i="3" s="1"/>
  <c r="BL307" i="3"/>
  <c r="AZ307" i="3" s="1"/>
  <c r="G308" i="3"/>
  <c r="BA310" i="3"/>
  <c r="AZ310" i="3"/>
  <c r="BL311" i="3"/>
  <c r="AZ311" i="3"/>
  <c r="G312" i="3"/>
  <c r="BA314" i="3"/>
  <c r="BL315" i="3"/>
  <c r="G316" i="3"/>
  <c r="BA318" i="3"/>
  <c r="AZ318" i="3"/>
  <c r="BL319" i="3"/>
  <c r="G320" i="3"/>
  <c r="BA322" i="3"/>
  <c r="AZ322" i="3"/>
  <c r="BL323" i="3"/>
  <c r="G324" i="3"/>
  <c r="BA326" i="3"/>
  <c r="AZ326" i="3" s="1"/>
  <c r="BL327" i="3"/>
  <c r="G328" i="3"/>
  <c r="BA330" i="3"/>
  <c r="AZ330" i="3" s="1"/>
  <c r="BL331" i="3"/>
  <c r="AZ331" i="3" s="1"/>
  <c r="G332" i="3"/>
  <c r="BA334" i="3"/>
  <c r="AZ334" i="3" s="1"/>
  <c r="BL335" i="3"/>
  <c r="G336" i="3"/>
  <c r="BA338" i="3"/>
  <c r="AZ338" i="3" s="1"/>
  <c r="BL339" i="3"/>
  <c r="G340" i="3"/>
  <c r="BL343" i="3"/>
  <c r="G344" i="3"/>
  <c r="G348" i="3"/>
  <c r="G355" i="3"/>
  <c r="AZ218" i="3"/>
  <c r="G342" i="3"/>
  <c r="BL345" i="3"/>
  <c r="G346" i="3"/>
  <c r="BL349" i="3"/>
  <c r="AZ349" i="3" s="1"/>
  <c r="BL352" i="3"/>
  <c r="G353" i="3"/>
  <c r="BA357" i="3"/>
  <c r="AZ357" i="3" s="1"/>
  <c r="BL358" i="3"/>
  <c r="AZ358" i="3" s="1"/>
  <c r="G359" i="3"/>
  <c r="BA361" i="3"/>
  <c r="BL362" i="3"/>
  <c r="G363" i="3"/>
  <c r="BA365" i="3"/>
  <c r="BL366" i="3"/>
  <c r="G367" i="3"/>
  <c r="BA369" i="3"/>
  <c r="AZ369" i="3" s="1"/>
  <c r="BL370" i="3"/>
  <c r="G371" i="3"/>
  <c r="BA373" i="3"/>
  <c r="AZ373" i="3" s="1"/>
  <c r="BL374" i="3"/>
  <c r="AZ374" i="3" s="1"/>
  <c r="G375" i="3"/>
  <c r="BA377" i="3"/>
  <c r="AZ229" i="3"/>
  <c r="AZ257" i="3"/>
  <c r="AZ261" i="3"/>
  <c r="AZ265" i="3"/>
  <c r="AZ370" i="3"/>
  <c r="BA379" i="3"/>
  <c r="AZ379" i="3" s="1"/>
  <c r="BL380" i="3"/>
  <c r="G381" i="3"/>
  <c r="BA383" i="3"/>
  <c r="BL384" i="3"/>
  <c r="AZ384" i="3" s="1"/>
  <c r="G385" i="3"/>
  <c r="BA387" i="3"/>
  <c r="AZ387" i="3" s="1"/>
  <c r="BL388" i="3"/>
  <c r="AZ388" i="3" s="1"/>
  <c r="G389" i="3"/>
  <c r="BA391" i="3"/>
  <c r="AZ391" i="3" s="1"/>
  <c r="BL392" i="3"/>
  <c r="AZ392" i="3" s="1"/>
  <c r="G393" i="3"/>
  <c r="AZ263" i="3"/>
  <c r="AZ279" i="3"/>
  <c r="AZ283" i="3"/>
  <c r="AZ291" i="3"/>
  <c r="BO5" i="3"/>
  <c r="BM5" i="3"/>
  <c r="BJ5" i="3"/>
  <c r="BH5" i="3"/>
  <c r="BF5" i="3"/>
  <c r="BD5" i="3"/>
  <c r="BQ5" i="3"/>
  <c r="F28" i="6" s="1"/>
  <c r="AZ549" i="3"/>
  <c r="AZ496" i="3"/>
  <c r="G548" i="3"/>
  <c r="G538" i="3"/>
  <c r="G520" i="3"/>
  <c r="G502" i="3"/>
  <c r="BS5" i="3"/>
  <c r="BP5" i="3"/>
  <c r="G29" i="6" s="1"/>
  <c r="BN5" i="3"/>
  <c r="AZ343" i="3"/>
  <c r="BK5" i="3"/>
  <c r="BI5" i="3"/>
  <c r="BG5" i="3"/>
  <c r="BE5" i="3"/>
  <c r="BC5" i="3"/>
  <c r="G17" i="3"/>
  <c r="BA17" i="3"/>
  <c r="BT5" i="3"/>
  <c r="AZ352" i="3"/>
  <c r="BA15" i="3"/>
  <c r="BB5" i="3"/>
  <c r="BR5" i="3"/>
  <c r="AZ396" i="3"/>
  <c r="G509" i="3"/>
  <c r="BL493" i="3"/>
  <c r="AZ491" i="3"/>
  <c r="AZ382" i="3"/>
  <c r="U36" i="40"/>
  <c r="F83" i="43"/>
  <c r="H85" i="43" s="1"/>
  <c r="F50" i="43"/>
  <c r="H54" i="43" s="1"/>
  <c r="F72" i="43"/>
  <c r="H75" i="43" s="1"/>
  <c r="U17" i="39"/>
  <c r="S14" i="35"/>
  <c r="U43" i="21"/>
  <c r="U35" i="21"/>
  <c r="AC35" i="21"/>
  <c r="G8" i="1"/>
  <c r="G10" i="1"/>
  <c r="W37" i="37"/>
  <c r="AC44" i="34"/>
  <c r="U13" i="37"/>
  <c r="AA12" i="40"/>
  <c r="J37" i="33"/>
  <c r="W37" i="33" s="1"/>
  <c r="AC17" i="34"/>
  <c r="J34" i="33"/>
  <c r="W34" i="33" s="1"/>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H35" i="37"/>
  <c r="U35" i="37" s="1"/>
  <c r="AC14" i="35"/>
  <c r="H20" i="35"/>
  <c r="U20" i="35" s="1"/>
  <c r="F20" i="35"/>
  <c r="AA20" i="35" s="1"/>
  <c r="AB29" i="36"/>
  <c r="U29" i="36"/>
  <c r="H32" i="37"/>
  <c r="AB32" i="37" s="1"/>
  <c r="H27" i="40"/>
  <c r="U27" i="40"/>
  <c r="J27" i="40"/>
  <c r="AC27" i="40"/>
  <c r="F27" i="40"/>
  <c r="S27" i="40"/>
  <c r="J30" i="40"/>
  <c r="AC30" i="40"/>
  <c r="F30" i="40"/>
  <c r="AA30" i="40"/>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6" i="39"/>
  <c r="F96" i="39" s="1"/>
  <c r="G96" i="39" s="1"/>
  <c r="AZ354" i="3"/>
  <c r="C40" i="11"/>
  <c r="AZ215" i="3"/>
  <c r="AZ227" i="3"/>
  <c r="AZ232" i="3"/>
  <c r="AZ259" i="3"/>
  <c r="AZ280" i="3"/>
  <c r="AZ288" i="3"/>
  <c r="AZ130" i="3"/>
  <c r="AZ29" i="3"/>
  <c r="AZ31" i="3"/>
  <c r="AZ33" i="3"/>
  <c r="AZ37" i="3"/>
  <c r="AZ42" i="3"/>
  <c r="AZ45" i="3"/>
  <c r="F23" i="39"/>
  <c r="AA23" i="39" s="1"/>
  <c r="H27" i="36"/>
  <c r="U27" i="36" s="1"/>
  <c r="F27" i="36"/>
  <c r="AA27" i="36" s="1"/>
  <c r="H33" i="34"/>
  <c r="U33" i="34" s="1"/>
  <c r="F32" i="37"/>
  <c r="AA32" i="37" s="1"/>
  <c r="F20" i="36"/>
  <c r="AA20" i="36" s="1"/>
  <c r="J33" i="34"/>
  <c r="AC33" i="34" s="1"/>
  <c r="H23" i="39"/>
  <c r="U23" i="39" s="1"/>
  <c r="D48" i="9"/>
  <c r="M52" i="9" s="1"/>
  <c r="K9" i="1"/>
  <c r="M9" i="1" s="1"/>
  <c r="D93" i="9"/>
  <c r="K6" i="1"/>
  <c r="AP6" i="1" s="1"/>
  <c r="AB34" i="36"/>
  <c r="U34" i="36"/>
  <c r="AB33" i="36"/>
  <c r="U33" i="36"/>
  <c r="AC12" i="39"/>
  <c r="W12" i="39"/>
  <c r="W12" i="33"/>
  <c r="AC12" i="33"/>
  <c r="AA32" i="36"/>
  <c r="S32" i="36"/>
  <c r="AZ437" i="3"/>
  <c r="AZ441" i="3"/>
  <c r="AZ490" i="3"/>
  <c r="BL14" i="3"/>
  <c r="AC13" i="34"/>
  <c r="AA47" i="34"/>
  <c r="W28" i="37"/>
  <c r="S19" i="39"/>
  <c r="F12" i="33"/>
  <c r="H12" i="39"/>
  <c r="AB12" i="39" s="1"/>
  <c r="F39" i="40"/>
  <c r="S39" i="40" s="1"/>
  <c r="BA14" i="3"/>
  <c r="AZ367" i="3"/>
  <c r="AZ213" i="3"/>
  <c r="AZ234" i="3"/>
  <c r="AZ281" i="3"/>
  <c r="AZ286" i="3"/>
  <c r="AZ165" i="3"/>
  <c r="AZ197" i="3"/>
  <c r="AZ35" i="3"/>
  <c r="AZ41" i="3"/>
  <c r="B12" i="1"/>
  <c r="E12" i="1" s="1"/>
  <c r="B10" i="1"/>
  <c r="E10" i="1" s="1"/>
  <c r="K12" i="1"/>
  <c r="M12" i="1" s="1"/>
  <c r="S13" i="1"/>
  <c r="AR13" i="1" s="1"/>
  <c r="R13" i="1"/>
  <c r="J51" i="67"/>
  <c r="C42" i="1"/>
  <c r="AA34" i="33"/>
  <c r="B41" i="1"/>
  <c r="F48" i="9" s="1"/>
  <c r="O52" i="9" s="1"/>
  <c r="AB37" i="40"/>
  <c r="S35" i="40"/>
  <c r="S17" i="40"/>
  <c r="AC17" i="40"/>
  <c r="AC15" i="40"/>
  <c r="AB27" i="40"/>
  <c r="S30" i="40"/>
  <c r="AA19" i="40"/>
  <c r="AA27" i="40"/>
  <c r="U21" i="40"/>
  <c r="AB19" i="40"/>
  <c r="S43" i="39"/>
  <c r="S37" i="39"/>
  <c r="U35" i="39"/>
  <c r="F32" i="39"/>
  <c r="S32" i="39" s="1"/>
  <c r="AB27" i="39"/>
  <c r="J21" i="39"/>
  <c r="W21" i="39" s="1"/>
  <c r="F21" i="39"/>
  <c r="G94" i="39"/>
  <c r="H21" i="39"/>
  <c r="W19" i="39"/>
  <c r="U19" i="39"/>
  <c r="S17" i="39"/>
  <c r="AA12" i="39"/>
  <c r="S9" i="39"/>
  <c r="U14" i="39"/>
  <c r="AC13" i="39"/>
  <c r="S23" i="36"/>
  <c r="U13" i="36"/>
  <c r="U26" i="36"/>
  <c r="S33" i="36"/>
  <c r="AA26" i="36"/>
  <c r="AA34" i="36"/>
  <c r="AC26" i="36"/>
  <c r="AA22" i="36"/>
  <c r="AB14" i="36"/>
  <c r="U22" i="36"/>
  <c r="S16" i="36"/>
  <c r="AA25" i="36"/>
  <c r="U23" i="36"/>
  <c r="U16" i="36"/>
  <c r="S14" i="36"/>
  <c r="AA25" i="35"/>
  <c r="AB13" i="35"/>
  <c r="U29" i="35"/>
  <c r="U28" i="35"/>
  <c r="AB27" i="35"/>
  <c r="U36" i="35"/>
  <c r="U32" i="35"/>
  <c r="AC30" i="35"/>
  <c r="S32" i="35"/>
  <c r="AA36" i="35"/>
  <c r="S28" i="35"/>
  <c r="AB16" i="35"/>
  <c r="U22" i="35"/>
  <c r="S20" i="35"/>
  <c r="AC20" i="35"/>
  <c r="S22" i="35"/>
  <c r="U14" i="35"/>
  <c r="AA11" i="35"/>
  <c r="AC9" i="35"/>
  <c r="W9" i="35"/>
  <c r="W13" i="35"/>
  <c r="F9" i="35"/>
  <c r="S9" i="35" s="1"/>
  <c r="H9" i="35"/>
  <c r="U9" i="35" s="1"/>
  <c r="AB40" i="37"/>
  <c r="W27" i="37"/>
  <c r="AC29" i="37"/>
  <c r="U29" i="37"/>
  <c r="S32" i="37"/>
  <c r="AB31" i="37"/>
  <c r="W30" i="37"/>
  <c r="S36" i="37"/>
  <c r="AA38" i="37"/>
  <c r="U32" i="37"/>
  <c r="W38" i="37"/>
  <c r="AC35" i="37"/>
  <c r="W39" i="37"/>
  <c r="S30" i="37"/>
  <c r="AC15" i="37"/>
  <c r="J17" i="37"/>
  <c r="W17" i="37" s="1"/>
  <c r="G73" i="37"/>
  <c r="F17" i="37"/>
  <c r="AA17" i="37" s="1"/>
  <c r="AB17" i="37"/>
  <c r="F75" i="37"/>
  <c r="F19" i="37"/>
  <c r="AA19" i="37" s="1"/>
  <c r="F79" i="37"/>
  <c r="F23" i="37"/>
  <c r="S23" i="37" s="1"/>
  <c r="U23" i="37"/>
  <c r="U15" i="37"/>
  <c r="AC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W42" i="33"/>
  <c r="AA29" i="33"/>
  <c r="AB29" i="33"/>
  <c r="W38" i="33"/>
  <c r="H41" i="33"/>
  <c r="U41" i="33" s="1"/>
  <c r="U42" i="33"/>
  <c r="S42" i="33"/>
  <c r="F36" i="33"/>
  <c r="AA36" i="33" s="1"/>
  <c r="J35" i="33"/>
  <c r="AC35" i="33" s="1"/>
  <c r="S37" i="33"/>
  <c r="AA37" i="33"/>
  <c r="S39" i="33"/>
  <c r="J32" i="33"/>
  <c r="AC32" i="33" s="1"/>
  <c r="S46" i="33"/>
  <c r="S43" i="33"/>
  <c r="H27" i="33"/>
  <c r="H25" i="33"/>
  <c r="AB25" i="33" s="1"/>
  <c r="F25" i="33"/>
  <c r="J23" i="33"/>
  <c r="W23" i="33" s="1"/>
  <c r="H23" i="33"/>
  <c r="F19" i="33"/>
  <c r="S19" i="33" s="1"/>
  <c r="W19" i="33"/>
  <c r="J17" i="33"/>
  <c r="AC17" i="33" s="1"/>
  <c r="S15" i="33"/>
  <c r="W15" i="33"/>
  <c r="J10" i="33"/>
  <c r="W10" i="33" s="1"/>
  <c r="H10" i="33"/>
  <c r="U10" i="33" s="1"/>
  <c r="AC11" i="33"/>
  <c r="AB14" i="33"/>
  <c r="W43" i="21"/>
  <c r="W36" i="21"/>
  <c r="W41" i="21"/>
  <c r="AB39" i="21"/>
  <c r="AA43" i="21"/>
  <c r="S39" i="21"/>
  <c r="AA36" i="21"/>
  <c r="AC40" i="21"/>
  <c r="J15" i="21"/>
  <c r="W15" i="21" s="1"/>
  <c r="F23" i="21"/>
  <c r="S23" i="21" s="1"/>
  <c r="E85" i="21"/>
  <c r="F34" i="67"/>
  <c r="F62" i="67" s="1"/>
  <c r="M20" i="67"/>
  <c r="F34" i="15"/>
  <c r="F62" i="15" s="1"/>
  <c r="G13" i="3"/>
  <c r="BA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S23" i="39"/>
  <c r="AA45" i="39"/>
  <c r="AB39" i="39"/>
  <c r="W34" i="39"/>
  <c r="U38" i="39"/>
  <c r="S8" i="39"/>
  <c r="S20" i="36"/>
  <c r="AC25" i="36"/>
  <c r="U32" i="36"/>
  <c r="W29" i="36"/>
  <c r="AC20" i="36"/>
  <c r="U25" i="36"/>
  <c r="AB28" i="36"/>
  <c r="AA13"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W46" i="33"/>
  <c r="U39" i="33"/>
  <c r="U38" i="33"/>
  <c r="S33" i="33"/>
  <c r="AB34" i="33"/>
  <c r="U44" i="33"/>
  <c r="AB44" i="33"/>
  <c r="S30" i="33"/>
  <c r="AA30" i="33"/>
  <c r="AC14" i="33"/>
  <c r="W14" i="33"/>
  <c r="AC30" i="33"/>
  <c r="W30" i="33"/>
  <c r="S31" i="33"/>
  <c r="AA31" i="33"/>
  <c r="W13" i="33"/>
  <c r="AC13" i="33"/>
  <c r="U15" i="33"/>
  <c r="S11" i="33"/>
  <c r="U37" i="33"/>
  <c r="AC28" i="33"/>
  <c r="S28" i="33"/>
  <c r="W8" i="33"/>
  <c r="F37" i="21"/>
  <c r="AA37" i="21" s="1"/>
  <c r="AB46" i="21"/>
  <c r="U40" i="21"/>
  <c r="S35" i="21"/>
  <c r="J37" i="21"/>
  <c r="W37" i="21" s="1"/>
  <c r="H15" i="21"/>
  <c r="U15" i="21" s="1"/>
  <c r="J17" i="21"/>
  <c r="AC17" i="21" s="1"/>
  <c r="W39" i="21"/>
  <c r="S46" i="21"/>
  <c r="H45" i="21"/>
  <c r="U45" i="21" s="1"/>
  <c r="F29" i="21"/>
  <c r="S29" i="21" s="1"/>
  <c r="F13" i="21"/>
  <c r="AA13" i="21" s="1"/>
  <c r="AC38" i="21"/>
  <c r="H32" i="21"/>
  <c r="AB32" i="21" s="1"/>
  <c r="H9" i="21"/>
  <c r="AB9" i="21" s="1"/>
  <c r="J9" i="21"/>
  <c r="AC9" i="21" s="1"/>
  <c r="J32" i="21"/>
  <c r="W32" i="21" s="1"/>
  <c r="F32" i="21"/>
  <c r="S32" i="21" s="1"/>
  <c r="W29" i="21"/>
  <c r="S19" i="21"/>
  <c r="K141" i="21"/>
  <c r="K144" i="21"/>
  <c r="K143" i="21"/>
  <c r="AB25" i="21"/>
  <c r="W13" i="21"/>
  <c r="F10" i="21"/>
  <c r="AA10" i="21" s="1"/>
  <c r="K145" i="21"/>
  <c r="W25" i="21"/>
  <c r="AA15" i="21"/>
  <c r="AC26" i="21"/>
  <c r="AB29" i="21"/>
  <c r="AC34" i="21"/>
  <c r="W12"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AB21" i="39"/>
  <c r="U21" i="39"/>
  <c r="AA21" i="39"/>
  <c r="S21" i="39"/>
  <c r="AC17" i="37"/>
  <c r="S17" i="37"/>
  <c r="J19" i="37"/>
  <c r="AC19" i="37" s="1"/>
  <c r="G75" i="37"/>
  <c r="S19" i="37"/>
  <c r="AA23" i="37"/>
  <c r="J23" i="37"/>
  <c r="G79" i="37"/>
  <c r="J10" i="37"/>
  <c r="W10" i="37" s="1"/>
  <c r="G63" i="37"/>
  <c r="H11" i="37"/>
  <c r="AB11" i="37" s="1"/>
  <c r="H11" i="34"/>
  <c r="U11" i="34" s="1"/>
  <c r="J10" i="34"/>
  <c r="AC10" i="34" s="1"/>
  <c r="AB41" i="33"/>
  <c r="W35" i="33"/>
  <c r="J36" i="33"/>
  <c r="W36" i="33" s="1"/>
  <c r="H36" i="33"/>
  <c r="U36" i="33" s="1"/>
  <c r="S36" i="33"/>
  <c r="W32" i="33"/>
  <c r="U27" i="33"/>
  <c r="AB27" i="33"/>
  <c r="J27" i="33"/>
  <c r="U25" i="33"/>
  <c r="S25" i="33"/>
  <c r="AA25" i="33"/>
  <c r="J25" i="33"/>
  <c r="AC25" i="33" s="1"/>
  <c r="AB23" i="33"/>
  <c r="U23" i="33"/>
  <c r="F23" i="33"/>
  <c r="AC23" i="33"/>
  <c r="AA19" i="33"/>
  <c r="H19" i="33"/>
  <c r="U19" i="33" s="1"/>
  <c r="H17" i="33"/>
  <c r="AB17" i="33" s="1"/>
  <c r="F17" i="33"/>
  <c r="S17" i="33" s="1"/>
  <c r="W17" i="33"/>
  <c r="AA23" i="21"/>
  <c r="J23" i="21"/>
  <c r="AC23" i="21" s="1"/>
  <c r="F85" i="21"/>
  <c r="G85" i="21" s="1"/>
  <c r="H23" i="21"/>
  <c r="AB23" i="21" s="1"/>
  <c r="S13" i="21"/>
  <c r="AP7" i="1"/>
  <c r="AB45" i="21"/>
  <c r="U9" i="21"/>
  <c r="U32" i="21"/>
  <c r="A18" i="62"/>
  <c r="B64" i="72" s="1"/>
  <c r="U32" i="39"/>
  <c r="AC32" i="39"/>
  <c r="W23" i="37"/>
  <c r="AC23" i="37"/>
  <c r="H63" i="37"/>
  <c r="I63" i="37" s="1"/>
  <c r="J63" i="37" s="1"/>
  <c r="K63" i="37" s="1"/>
  <c r="L63" i="37" s="1"/>
  <c r="M63" i="37" s="1"/>
  <c r="J11" i="37"/>
  <c r="AC11" i="37" s="1"/>
  <c r="H70" i="34"/>
  <c r="I70" i="34" s="1"/>
  <c r="J70" i="34" s="1"/>
  <c r="K70" i="34" s="1"/>
  <c r="L70" i="34" s="1"/>
  <c r="M70" i="34" s="1"/>
  <c r="J11" i="34"/>
  <c r="W11" i="34" s="1"/>
  <c r="AB36" i="33"/>
  <c r="W27" i="33"/>
  <c r="AC27" i="33"/>
  <c r="AA23" i="33"/>
  <c r="S23" i="33"/>
  <c r="AB19" i="33"/>
  <c r="AA17" i="33"/>
  <c r="U23" i="21"/>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c r="F19" i="71" s="1"/>
  <c r="F18" i="71" s="1"/>
  <c r="F17" i="71" s="1"/>
  <c r="Y20" i="71"/>
  <c r="Z20" i="71" s="1"/>
  <c r="X3" i="71"/>
  <c r="C21" i="71"/>
  <c r="E21" i="71"/>
  <c r="E20" i="71" s="1"/>
  <c r="C20" i="71"/>
  <c r="C19" i="71" s="1"/>
  <c r="C18" i="71" s="1"/>
  <c r="C17" i="71" s="1"/>
  <c r="D21" i="71"/>
  <c r="D18" i="71"/>
  <c r="T20" i="71"/>
  <c r="D19" i="71"/>
  <c r="D20" i="71"/>
  <c r="U20" i="71" s="1"/>
  <c r="F4" i="73"/>
  <c r="M9" i="67"/>
  <c r="E13" i="76"/>
  <c r="D34" i="9"/>
  <c r="F38" i="67"/>
  <c r="M24" i="15"/>
  <c r="F5" i="73"/>
  <c r="F40" i="15"/>
  <c r="F43" i="15"/>
  <c r="F38" i="15"/>
  <c r="M23" i="15"/>
  <c r="F3" i="73"/>
  <c r="E2" i="68"/>
  <c r="M22" i="15"/>
  <c r="E2" i="69"/>
  <c r="E10" i="76"/>
  <c r="D6" i="73"/>
  <c r="F20" i="31"/>
  <c r="F42" i="67"/>
  <c r="B12" i="76"/>
  <c r="J15" i="67"/>
  <c r="F7" i="15"/>
  <c r="F13" i="67"/>
  <c r="E7" i="76"/>
  <c r="M22" i="67"/>
  <c r="J15" i="15"/>
  <c r="F37" i="67"/>
  <c r="M6" i="15"/>
  <c r="M29" i="15"/>
  <c r="F8" i="15"/>
  <c r="M9" i="15"/>
  <c r="B11" i="76"/>
  <c r="D35" i="9"/>
  <c r="M28" i="15"/>
  <c r="F6" i="67"/>
  <c r="F26" i="67"/>
  <c r="F16" i="67"/>
  <c r="F42" i="15"/>
  <c r="M8" i="67"/>
  <c r="L48" i="15"/>
  <c r="L47" i="67"/>
  <c r="D3" i="73"/>
  <c r="C76" i="15"/>
  <c r="F26" i="15"/>
  <c r="AO13" i="1"/>
  <c r="B7" i="76"/>
  <c r="F8" i="67"/>
  <c r="F36" i="67"/>
  <c r="B13" i="76"/>
  <c r="M8" i="15"/>
  <c r="F9" i="67"/>
  <c r="E12" i="76"/>
  <c r="M29" i="67"/>
  <c r="E9" i="76"/>
  <c r="B9" i="76"/>
  <c r="F40" i="67"/>
  <c r="M24" i="67"/>
  <c r="B8" i="76"/>
  <c r="C76" i="67"/>
  <c r="F9" i="15"/>
  <c r="M26" i="67"/>
  <c r="F16" i="15"/>
  <c r="F43" i="67"/>
  <c r="L48" i="67"/>
  <c r="F6" i="73"/>
  <c r="F6" i="15"/>
  <c r="F13" i="15"/>
  <c r="D4" i="73"/>
  <c r="M6" i="67"/>
  <c r="E11" i="76"/>
  <c r="M23" i="67"/>
  <c r="F36" i="15"/>
  <c r="B10" i="76"/>
  <c r="M26" i="15"/>
  <c r="D5" i="73"/>
  <c r="E8" i="76"/>
  <c r="F7" i="73"/>
  <c r="L47" i="15"/>
  <c r="D7" i="73"/>
  <c r="M28" i="67"/>
  <c r="F37" i="15"/>
  <c r="AZ507" i="3" l="1"/>
  <c r="AZ513" i="3"/>
  <c r="AZ517" i="3"/>
  <c r="AZ523" i="3"/>
  <c r="AZ539" i="3"/>
  <c r="AZ553" i="3"/>
  <c r="AZ567" i="3"/>
  <c r="AZ571" i="3"/>
  <c r="AZ497" i="3"/>
  <c r="AZ501" i="3"/>
  <c r="AZ512" i="3"/>
  <c r="AZ520" i="3"/>
  <c r="AZ530" i="3"/>
  <c r="AZ538" i="3"/>
  <c r="AZ552" i="3"/>
  <c r="AZ560" i="3"/>
  <c r="AZ568" i="3"/>
  <c r="AZ576" i="3"/>
  <c r="AC13" i="36"/>
  <c r="AA14" i="37"/>
  <c r="U31" i="34"/>
  <c r="AA44" i="33"/>
  <c r="J12" i="34"/>
  <c r="W12" i="34" s="1"/>
  <c r="F12" i="34"/>
  <c r="J12" i="35"/>
  <c r="F12" i="35"/>
  <c r="H34" i="35"/>
  <c r="AB34" i="35" s="1"/>
  <c r="J34" i="35"/>
  <c r="U17" i="33"/>
  <c r="W25" i="33"/>
  <c r="W19" i="37"/>
  <c r="AC37" i="33"/>
  <c r="AB33" i="34"/>
  <c r="AA40" i="34"/>
  <c r="H67" i="43"/>
  <c r="U12" i="39"/>
  <c r="U35" i="40"/>
  <c r="AZ14" i="3"/>
  <c r="AZ377" i="3"/>
  <c r="AZ362" i="3"/>
  <c r="AZ345" i="3"/>
  <c r="AZ351" i="3"/>
  <c r="AZ337" i="3"/>
  <c r="AZ305" i="3"/>
  <c r="AZ360" i="3"/>
  <c r="H9" i="33"/>
  <c r="J9" i="33"/>
  <c r="C18" i="9"/>
  <c r="D18" i="9" s="1"/>
  <c r="H9" i="36"/>
  <c r="AB9" i="36" s="1"/>
  <c r="G574" i="3"/>
  <c r="G570" i="3"/>
  <c r="G551" i="3"/>
  <c r="G399" i="3"/>
  <c r="BA400" i="3"/>
  <c r="BL400" i="3"/>
  <c r="BA402" i="3"/>
  <c r="AZ402" i="3" s="1"/>
  <c r="BA403" i="3"/>
  <c r="AZ403" i="3" s="1"/>
  <c r="BL403" i="3"/>
  <c r="BA404" i="3"/>
  <c r="AZ404" i="3" s="1"/>
  <c r="BA406" i="3"/>
  <c r="AZ406" i="3" s="1"/>
  <c r="BA408" i="3"/>
  <c r="AZ408" i="3" s="1"/>
  <c r="BL408" i="3"/>
  <c r="BA409" i="3"/>
  <c r="AZ409" i="3" s="1"/>
  <c r="BL411" i="3"/>
  <c r="G412" i="3"/>
  <c r="BA413" i="3"/>
  <c r="BL413" i="3"/>
  <c r="BA414" i="3"/>
  <c r="AZ414" i="3" s="1"/>
  <c r="BL416" i="3"/>
  <c r="G417" i="3"/>
  <c r="G419" i="3"/>
  <c r="G421" i="3"/>
  <c r="G423" i="3"/>
  <c r="BA424" i="3"/>
  <c r="BL424" i="3"/>
  <c r="BA425" i="3"/>
  <c r="AZ425" i="3" s="1"/>
  <c r="BL427" i="3"/>
  <c r="G428" i="3"/>
  <c r="BA429" i="3"/>
  <c r="BL429" i="3"/>
  <c r="BA430" i="3"/>
  <c r="AZ430" i="3" s="1"/>
  <c r="BL432" i="3"/>
  <c r="G433" i="3"/>
  <c r="G435" i="3"/>
  <c r="G437" i="3"/>
  <c r="BL438" i="3"/>
  <c r="G439" i="3"/>
  <c r="BL443" i="3"/>
  <c r="G444" i="3"/>
  <c r="BA445" i="3"/>
  <c r="BL445" i="3"/>
  <c r="BA447" i="3"/>
  <c r="BL447" i="3"/>
  <c r="BL448" i="3"/>
  <c r="G449" i="3"/>
  <c r="BL450" i="3"/>
  <c r="G451" i="3"/>
  <c r="BA452" i="3"/>
  <c r="AZ452" i="3" s="1"/>
  <c r="BA454" i="3"/>
  <c r="AZ454" i="3" s="1"/>
  <c r="BL456" i="3"/>
  <c r="G457" i="3"/>
  <c r="G459" i="3"/>
  <c r="G461" i="3"/>
  <c r="G463" i="3"/>
  <c r="BA464" i="3"/>
  <c r="AZ464" i="3" s="1"/>
  <c r="BL464" i="3"/>
  <c r="BL466" i="3"/>
  <c r="G467" i="3"/>
  <c r="G472" i="3"/>
  <c r="BL473" i="3"/>
  <c r="G474" i="3"/>
  <c r="G477" i="3"/>
  <c r="G479" i="3"/>
  <c r="BA480" i="3"/>
  <c r="BL480" i="3"/>
  <c r="BA482" i="3"/>
  <c r="BL482" i="3"/>
  <c r="BA483" i="3"/>
  <c r="AZ483" i="3" s="1"/>
  <c r="BL485" i="3"/>
  <c r="G486" i="3"/>
  <c r="BL487" i="3"/>
  <c r="G488" i="3"/>
  <c r="G311" i="3"/>
  <c r="BL312" i="3"/>
  <c r="AZ312" i="3" s="1"/>
  <c r="BA315" i="3"/>
  <c r="AZ315" i="3" s="1"/>
  <c r="BA317" i="3"/>
  <c r="BL317" i="3"/>
  <c r="G323" i="3"/>
  <c r="BL324" i="3"/>
  <c r="AZ324" i="3" s="1"/>
  <c r="G334" i="3"/>
  <c r="BA335" i="3"/>
  <c r="AZ335" i="3" s="1"/>
  <c r="BA339" i="3"/>
  <c r="AZ339" i="3" s="1"/>
  <c r="BA348" i="3"/>
  <c r="AZ348" i="3" s="1"/>
  <c r="BL348" i="3"/>
  <c r="BL353" i="3"/>
  <c r="G362" i="3"/>
  <c r="BL363" i="3"/>
  <c r="AZ363" i="3" s="1"/>
  <c r="BA366" i="3"/>
  <c r="AZ366" i="3" s="1"/>
  <c r="BL368" i="3"/>
  <c r="G369" i="3"/>
  <c r="G384" i="3"/>
  <c r="BA385" i="3"/>
  <c r="BL385" i="3"/>
  <c r="G208" i="3"/>
  <c r="BL209" i="3"/>
  <c r="G210" i="3"/>
  <c r="G213" i="3"/>
  <c r="G215" i="3"/>
  <c r="G218" i="3"/>
  <c r="G221" i="3"/>
  <c r="BL222" i="3"/>
  <c r="G223" i="3"/>
  <c r="BL224" i="3"/>
  <c r="G225" i="3"/>
  <c r="G229" i="3"/>
  <c r="G232" i="3"/>
  <c r="G234" i="3"/>
  <c r="G236" i="3"/>
  <c r="BL237" i="3"/>
  <c r="G238" i="3"/>
  <c r="BA239" i="3"/>
  <c r="AZ239" i="3" s="1"/>
  <c r="BL239" i="3"/>
  <c r="BA241" i="3"/>
  <c r="AZ241" i="3" s="1"/>
  <c r="BL241" i="3"/>
  <c r="BA242" i="3"/>
  <c r="AZ242" i="3" s="1"/>
  <c r="BA243" i="3"/>
  <c r="AZ243" i="3" s="1"/>
  <c r="BA245" i="3"/>
  <c r="AZ245" i="3" s="1"/>
  <c r="BL245" i="3"/>
  <c r="BA246" i="3"/>
  <c r="AZ246" i="3" s="1"/>
  <c r="BA248" i="3"/>
  <c r="BL248" i="3"/>
  <c r="BA250" i="3"/>
  <c r="BL250" i="3"/>
  <c r="BL252" i="3"/>
  <c r="G253" i="3"/>
  <c r="BL254" i="3"/>
  <c r="G255" i="3"/>
  <c r="G257" i="3"/>
  <c r="G261" i="3"/>
  <c r="G265" i="3"/>
  <c r="G267" i="3"/>
  <c r="BL268" i="3"/>
  <c r="G269" i="3"/>
  <c r="BA270" i="3"/>
  <c r="BL270" i="3"/>
  <c r="BL272" i="3"/>
  <c r="G273" i="3"/>
  <c r="BA274" i="3"/>
  <c r="BL274" i="3"/>
  <c r="BL276" i="3"/>
  <c r="G277" i="3"/>
  <c r="G283" i="3"/>
  <c r="G286" i="3"/>
  <c r="G288" i="3"/>
  <c r="G291" i="3"/>
  <c r="G294" i="3"/>
  <c r="BL295" i="3"/>
  <c r="G296" i="3"/>
  <c r="BL297" i="3"/>
  <c r="G298" i="3"/>
  <c r="G300" i="3"/>
  <c r="BA301" i="3"/>
  <c r="BL301" i="3"/>
  <c r="BA302" i="3"/>
  <c r="AZ302" i="3" s="1"/>
  <c r="BA113" i="3"/>
  <c r="AZ113" i="3" s="1"/>
  <c r="BA114" i="3"/>
  <c r="AZ114" i="3" s="1"/>
  <c r="BL115" i="3"/>
  <c r="AZ115" i="3" s="1"/>
  <c r="BL118" i="3"/>
  <c r="G119" i="3"/>
  <c r="BA120" i="3"/>
  <c r="AZ120" i="3" s="1"/>
  <c r="BA122" i="3"/>
  <c r="AZ122" i="3" s="1"/>
  <c r="BL122" i="3"/>
  <c r="BA124" i="3"/>
  <c r="AZ124" i="3" s="1"/>
  <c r="G134" i="3"/>
  <c r="G136" i="3"/>
  <c r="BL137" i="3"/>
  <c r="G138" i="3"/>
  <c r="G140" i="3"/>
  <c r="BL141" i="3"/>
  <c r="G142" i="3"/>
  <c r="G144" i="3"/>
  <c r="BL145" i="3"/>
  <c r="G146" i="3"/>
  <c r="G148" i="3"/>
  <c r="BA149" i="3"/>
  <c r="AZ149" i="3" s="1"/>
  <c r="BL149" i="3"/>
  <c r="BL151" i="3"/>
  <c r="AZ151" i="3" s="1"/>
  <c r="G152" i="3"/>
  <c r="BA154" i="3"/>
  <c r="AZ154" i="3" s="1"/>
  <c r="BL154" i="3"/>
  <c r="BA156" i="3"/>
  <c r="AZ156" i="3" s="1"/>
  <c r="BL158" i="3"/>
  <c r="G159" i="3"/>
  <c r="BA160" i="3"/>
  <c r="AZ160" i="3" s="1"/>
  <c r="BL162" i="3"/>
  <c r="G163" i="3"/>
  <c r="BA164" i="3"/>
  <c r="AZ164" i="3" s="1"/>
  <c r="G167" i="3"/>
  <c r="G170" i="3"/>
  <c r="BL173" i="3"/>
  <c r="G174" i="3"/>
  <c r="G176" i="3"/>
  <c r="BL177" i="3"/>
  <c r="G178" i="3"/>
  <c r="G180" i="3"/>
  <c r="BA181" i="3"/>
  <c r="BL181" i="3"/>
  <c r="BL183" i="3"/>
  <c r="AZ183" i="3" s="1"/>
  <c r="G184" i="3"/>
  <c r="BA186" i="3"/>
  <c r="BL186" i="3"/>
  <c r="BA188" i="3"/>
  <c r="AZ188" i="3" s="1"/>
  <c r="BL190" i="3"/>
  <c r="G191" i="3"/>
  <c r="BA192" i="3"/>
  <c r="AZ192" i="3" s="1"/>
  <c r="BL194" i="3"/>
  <c r="G195" i="3"/>
  <c r="BA196" i="3"/>
  <c r="AZ196" i="3" s="1"/>
  <c r="G199" i="3"/>
  <c r="G202" i="3"/>
  <c r="G206" i="3"/>
  <c r="BA18" i="3"/>
  <c r="BL18" i="3"/>
  <c r="BA20" i="3"/>
  <c r="BL20" i="3"/>
  <c r="BL22" i="3"/>
  <c r="G23" i="3"/>
  <c r="G25" i="3"/>
  <c r="BL26" i="3"/>
  <c r="G27" i="3"/>
  <c r="G29" i="3"/>
  <c r="G35" i="3"/>
  <c r="G39" i="3"/>
  <c r="G45" i="3"/>
  <c r="G49" i="3"/>
  <c r="BL50" i="3"/>
  <c r="G51" i="3"/>
  <c r="BA52" i="3"/>
  <c r="BL52" i="3"/>
  <c r="BL54" i="3"/>
  <c r="G55" i="3"/>
  <c r="BA56" i="3"/>
  <c r="BL56" i="3"/>
  <c r="BA57" i="3"/>
  <c r="AZ57" i="3" s="1"/>
  <c r="BA58" i="3"/>
  <c r="AZ58" i="3" s="1"/>
  <c r="BA59" i="3"/>
  <c r="AZ59" i="3" s="1"/>
  <c r="BA61" i="3"/>
  <c r="AZ61" i="3" s="1"/>
  <c r="BL61" i="3"/>
  <c r="BA62" i="3"/>
  <c r="AZ62" i="3" s="1"/>
  <c r="BA63" i="3"/>
  <c r="AZ63" i="3" s="1"/>
  <c r="BA64" i="3"/>
  <c r="AZ64" i="3" s="1"/>
  <c r="BA65" i="3"/>
  <c r="AZ65" i="3" s="1"/>
  <c r="BA66" i="3"/>
  <c r="AZ66" i="3" s="1"/>
  <c r="BA67" i="3"/>
  <c r="AZ67" i="3" s="1"/>
  <c r="BA68" i="3"/>
  <c r="AZ68" i="3" s="1"/>
  <c r="BA69" i="3"/>
  <c r="AZ69" i="3" s="1"/>
  <c r="BA70" i="3"/>
  <c r="AZ70" i="3" s="1"/>
  <c r="BA71" i="3"/>
  <c r="AZ71" i="3" s="1"/>
  <c r="BA72" i="3"/>
  <c r="AZ72" i="3" s="1"/>
  <c r="BA73" i="3"/>
  <c r="AZ73" i="3" s="1"/>
  <c r="BA74" i="3"/>
  <c r="AZ74" i="3" s="1"/>
  <c r="BA75" i="3"/>
  <c r="AZ75" i="3" s="1"/>
  <c r="BA76" i="3"/>
  <c r="AZ76" i="3" s="1"/>
  <c r="BA77" i="3"/>
  <c r="AZ77" i="3" s="1"/>
  <c r="BA78" i="3"/>
  <c r="AZ78" i="3" s="1"/>
  <c r="BA79" i="3"/>
  <c r="AZ79" i="3" s="1"/>
  <c r="BA80" i="3"/>
  <c r="AZ80" i="3" s="1"/>
  <c r="BA81" i="3"/>
  <c r="AZ81" i="3" s="1"/>
  <c r="BA82" i="3"/>
  <c r="AZ82" i="3" s="1"/>
  <c r="BA83" i="3"/>
  <c r="AZ83" i="3" s="1"/>
  <c r="BA84" i="3"/>
  <c r="AZ84" i="3" s="1"/>
  <c r="BA85" i="3"/>
  <c r="AZ85" i="3" s="1"/>
  <c r="BA86" i="3"/>
  <c r="AZ86" i="3" s="1"/>
  <c r="BA87" i="3"/>
  <c r="AZ87" i="3" s="1"/>
  <c r="BA88" i="3"/>
  <c r="AZ88" i="3" s="1"/>
  <c r="BA89" i="3"/>
  <c r="AZ89" i="3" s="1"/>
  <c r="BA90" i="3"/>
  <c r="AZ90" i="3" s="1"/>
  <c r="BA91" i="3"/>
  <c r="AZ91" i="3" s="1"/>
  <c r="BA92" i="3"/>
  <c r="AZ92" i="3" s="1"/>
  <c r="BA93" i="3"/>
  <c r="AZ93" i="3" s="1"/>
  <c r="BA94" i="3"/>
  <c r="AZ94" i="3" s="1"/>
  <c r="BA95" i="3"/>
  <c r="AZ95" i="3" s="1"/>
  <c r="BA96" i="3"/>
  <c r="AZ96" i="3" s="1"/>
  <c r="BA97" i="3"/>
  <c r="AZ97" i="3" s="1"/>
  <c r="BA98" i="3"/>
  <c r="AZ98" i="3" s="1"/>
  <c r="BA99" i="3"/>
  <c r="AZ99" i="3" s="1"/>
  <c r="BA100" i="3"/>
  <c r="AZ100" i="3" s="1"/>
  <c r="BA101" i="3"/>
  <c r="AZ101" i="3" s="1"/>
  <c r="BA102" i="3"/>
  <c r="AZ102" i="3" s="1"/>
  <c r="BA103" i="3"/>
  <c r="AZ103" i="3" s="1"/>
  <c r="BA104" i="3"/>
  <c r="AZ104" i="3" s="1"/>
  <c r="BA105" i="3"/>
  <c r="AZ105" i="3" s="1"/>
  <c r="BA106" i="3"/>
  <c r="AZ106" i="3" s="1"/>
  <c r="BA107" i="3"/>
  <c r="AZ107" i="3" s="1"/>
  <c r="BA108" i="3"/>
  <c r="AZ108" i="3" s="1"/>
  <c r="BA109" i="3"/>
  <c r="AZ109" i="3" s="1"/>
  <c r="BA110" i="3"/>
  <c r="AZ110" i="3" s="1"/>
  <c r="BL110" i="3"/>
  <c r="BL112" i="3"/>
  <c r="F3" i="35"/>
  <c r="D71" i="71"/>
  <c r="X35" i="71"/>
  <c r="Y29" i="71"/>
  <c r="Z29" i="71" s="1"/>
  <c r="AB31" i="71"/>
  <c r="AA30" i="71"/>
  <c r="C35" i="71"/>
  <c r="F35" i="71"/>
  <c r="F36" i="71" s="1"/>
  <c r="V36" i="71" s="1"/>
  <c r="AA34" i="71"/>
  <c r="X34" i="71"/>
  <c r="AB13" i="21"/>
  <c r="U13" i="21"/>
  <c r="AA9" i="21"/>
  <c r="S9" i="21"/>
  <c r="U9" i="34"/>
  <c r="AB9" i="34"/>
  <c r="U27" i="37"/>
  <c r="AB27" i="37"/>
  <c r="AC40" i="40"/>
  <c r="W40" i="40"/>
  <c r="S12" i="21"/>
  <c r="AA12" i="21"/>
  <c r="AC24" i="35"/>
  <c r="W24" i="35"/>
  <c r="AC9" i="36"/>
  <c r="W9" i="36"/>
  <c r="AC31" i="40"/>
  <c r="W31" i="40"/>
  <c r="AZ380" i="3"/>
  <c r="AZ493" i="3"/>
  <c r="AZ511" i="3"/>
  <c r="AZ515" i="3"/>
  <c r="AZ519" i="3"/>
  <c r="AZ565" i="3"/>
  <c r="AZ569" i="3"/>
  <c r="AZ573" i="3"/>
  <c r="AZ577" i="3"/>
  <c r="AZ508" i="3"/>
  <c r="H12" i="21"/>
  <c r="BA550" i="3"/>
  <c r="AA29" i="21"/>
  <c r="F29" i="6"/>
  <c r="AZ361" i="3"/>
  <c r="AZ390" i="3"/>
  <c r="AZ356" i="3"/>
  <c r="AZ347" i="3"/>
  <c r="AZ344" i="3"/>
  <c r="AZ313" i="3"/>
  <c r="AZ378" i="3"/>
  <c r="AZ341" i="3"/>
  <c r="AZ327" i="3"/>
  <c r="AZ325" i="3"/>
  <c r="AZ309" i="3"/>
  <c r="AZ525" i="3"/>
  <c r="AZ533" i="3"/>
  <c r="AZ541" i="3"/>
  <c r="AZ555" i="3"/>
  <c r="AZ583" i="3"/>
  <c r="AZ510" i="3"/>
  <c r="AZ540" i="3"/>
  <c r="AZ558" i="3"/>
  <c r="AZ514" i="3"/>
  <c r="AZ506" i="3"/>
  <c r="AA14" i="33"/>
  <c r="BL586" i="3"/>
  <c r="BA586" i="3"/>
  <c r="BL585" i="3"/>
  <c r="F9" i="36"/>
  <c r="F40" i="40"/>
  <c r="H40" i="40"/>
  <c r="G578" i="3"/>
  <c r="G562" i="3"/>
  <c r="BL548" i="3"/>
  <c r="BL15" i="3"/>
  <c r="AZ15" i="3" s="1"/>
  <c r="BL16" i="3"/>
  <c r="AZ16" i="3" s="1"/>
  <c r="G398" i="3"/>
  <c r="BL398" i="3"/>
  <c r="BA399" i="3"/>
  <c r="AZ399" i="3" s="1"/>
  <c r="BL401" i="3"/>
  <c r="AZ401" i="3" s="1"/>
  <c r="G403" i="3"/>
  <c r="G405" i="3"/>
  <c r="BL405" i="3"/>
  <c r="G407" i="3"/>
  <c r="BL407" i="3"/>
  <c r="G410" i="3"/>
  <c r="BL410" i="3"/>
  <c r="BA411" i="3"/>
  <c r="AZ411" i="3" s="1"/>
  <c r="BA412" i="3"/>
  <c r="AZ412" i="3" s="1"/>
  <c r="G415" i="3"/>
  <c r="BL415" i="3"/>
  <c r="BA416" i="3"/>
  <c r="AZ416" i="3" s="1"/>
  <c r="BA417" i="3"/>
  <c r="AZ417" i="3" s="1"/>
  <c r="BA418" i="3"/>
  <c r="BL418" i="3"/>
  <c r="G420" i="3"/>
  <c r="BL420" i="3"/>
  <c r="BA421" i="3"/>
  <c r="AZ421" i="3" s="1"/>
  <c r="BA422" i="3"/>
  <c r="AZ422" i="3" s="1"/>
  <c r="BL422" i="3"/>
  <c r="AZ438" i="3"/>
  <c r="AZ443" i="3"/>
  <c r="AZ446" i="3"/>
  <c r="AZ450" i="3"/>
  <c r="AZ481" i="3"/>
  <c r="AZ487" i="3"/>
  <c r="BA423" i="3"/>
  <c r="AZ423" i="3" s="1"/>
  <c r="G426" i="3"/>
  <c r="BL426" i="3"/>
  <c r="BA427" i="3"/>
  <c r="AZ427" i="3" s="1"/>
  <c r="BA428" i="3"/>
  <c r="AZ428" i="3" s="1"/>
  <c r="G431" i="3"/>
  <c r="BL431" i="3"/>
  <c r="BA432" i="3"/>
  <c r="AZ432" i="3" s="1"/>
  <c r="BA433" i="3"/>
  <c r="AZ433" i="3" s="1"/>
  <c r="BA434" i="3"/>
  <c r="AZ434" i="3" s="1"/>
  <c r="BL434" i="3"/>
  <c r="G436" i="3"/>
  <c r="BL436" i="3"/>
  <c r="AZ436" i="3" s="1"/>
  <c r="G441" i="3"/>
  <c r="G442" i="3"/>
  <c r="BA448" i="3"/>
  <c r="AZ448" i="3" s="1"/>
  <c r="BA451" i="3"/>
  <c r="BL451" i="3"/>
  <c r="G453" i="3"/>
  <c r="BL453" i="3"/>
  <c r="G455" i="3"/>
  <c r="BL455" i="3"/>
  <c r="BA456" i="3"/>
  <c r="AZ456" i="3" s="1"/>
  <c r="BA457" i="3"/>
  <c r="AZ457" i="3" s="1"/>
  <c r="BA458" i="3"/>
  <c r="BL458" i="3"/>
  <c r="G460" i="3"/>
  <c r="BL460" i="3"/>
  <c r="BA461" i="3"/>
  <c r="AZ461" i="3" s="1"/>
  <c r="BA462" i="3"/>
  <c r="AZ462" i="3" s="1"/>
  <c r="BL462" i="3"/>
  <c r="BA463" i="3"/>
  <c r="AZ463" i="3" s="1"/>
  <c r="BL465" i="3"/>
  <c r="AZ465" i="3" s="1"/>
  <c r="BA466" i="3"/>
  <c r="AZ466" i="3" s="1"/>
  <c r="G469" i="3"/>
  <c r="G471" i="3"/>
  <c r="BL471" i="3"/>
  <c r="BA472" i="3"/>
  <c r="AZ472" i="3" s="1"/>
  <c r="BA473" i="3"/>
  <c r="AZ473" i="3" s="1"/>
  <c r="G476" i="3"/>
  <c r="BL476" i="3"/>
  <c r="G478" i="3"/>
  <c r="BL478" i="3"/>
  <c r="BA479" i="3"/>
  <c r="AZ479" i="3" s="1"/>
  <c r="G484" i="3"/>
  <c r="BL484" i="3"/>
  <c r="BA485" i="3"/>
  <c r="AZ485" i="3" s="1"/>
  <c r="G490" i="3"/>
  <c r="G491" i="3"/>
  <c r="G492" i="3"/>
  <c r="BL492" i="3"/>
  <c r="G307" i="3"/>
  <c r="BL308" i="3"/>
  <c r="AZ308" i="3" s="1"/>
  <c r="BL314" i="3"/>
  <c r="AZ314" i="3" s="1"/>
  <c r="BA316" i="3"/>
  <c r="AZ316" i="3" s="1"/>
  <c r="BA319" i="3"/>
  <c r="AZ319" i="3" s="1"/>
  <c r="BA323" i="3"/>
  <c r="AZ323" i="3" s="1"/>
  <c r="BL328" i="3"/>
  <c r="AZ328" i="3" s="1"/>
  <c r="BL333" i="3"/>
  <c r="AZ333" i="3" s="1"/>
  <c r="G339" i="3"/>
  <c r="BL340" i="3"/>
  <c r="AZ340" i="3" s="1"/>
  <c r="G347" i="3"/>
  <c r="BL350" i="3"/>
  <c r="AZ350" i="3" s="1"/>
  <c r="BA353" i="3"/>
  <c r="AZ353" i="3" s="1"/>
  <c r="G358" i="3"/>
  <c r="BL359" i="3"/>
  <c r="AZ359" i="3" s="1"/>
  <c r="BL365" i="3"/>
  <c r="AZ365" i="3" s="1"/>
  <c r="BA368" i="3"/>
  <c r="AZ368" i="3" s="1"/>
  <c r="G378" i="3"/>
  <c r="BL383" i="3"/>
  <c r="AZ383" i="3" s="1"/>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9" i="3"/>
  <c r="AZ299" i="3" s="1"/>
  <c r="BA300" i="3"/>
  <c r="AZ300" i="3" s="1"/>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L147" i="3"/>
  <c r="AZ147" i="3" s="1"/>
  <c r="C36" i="71"/>
  <c r="D35" i="71"/>
  <c r="BL150" i="3"/>
  <c r="AZ150" i="3" s="1"/>
  <c r="BA152" i="3"/>
  <c r="AZ152" i="3" s="1"/>
  <c r="BL153" i="3"/>
  <c r="G156" i="3"/>
  <c r="BA157" i="3"/>
  <c r="AZ157" i="3" s="1"/>
  <c r="BA158" i="3"/>
  <c r="AZ158" i="3" s="1"/>
  <c r="BL159" i="3"/>
  <c r="AZ159" i="3" s="1"/>
  <c r="BA161" i="3"/>
  <c r="AZ161" i="3" s="1"/>
  <c r="BA162" i="3"/>
  <c r="AZ162" i="3" s="1"/>
  <c r="BL163" i="3"/>
  <c r="AZ163" i="3" s="1"/>
  <c r="BL166" i="3"/>
  <c r="AZ166" i="3" s="1"/>
  <c r="BA168" i="3"/>
  <c r="AZ168" i="3" s="1"/>
  <c r="BL169" i="3"/>
  <c r="G172" i="3"/>
  <c r="BA173" i="3"/>
  <c r="AZ173" i="3" s="1"/>
  <c r="BA174" i="3"/>
  <c r="AZ174" i="3" s="1"/>
  <c r="BL175" i="3"/>
  <c r="AZ175" i="3" s="1"/>
  <c r="BA177" i="3"/>
  <c r="AZ177" i="3" s="1"/>
  <c r="BA178" i="3"/>
  <c r="AZ178" i="3" s="1"/>
  <c r="BL179" i="3"/>
  <c r="AZ179" i="3" s="1"/>
  <c r="BL182" i="3"/>
  <c r="AZ182" i="3" s="1"/>
  <c r="BA184" i="3"/>
  <c r="AZ184" i="3" s="1"/>
  <c r="BL185" i="3"/>
  <c r="G188" i="3"/>
  <c r="BA189" i="3"/>
  <c r="AZ189" i="3" s="1"/>
  <c r="BA190" i="3"/>
  <c r="AZ190" i="3" s="1"/>
  <c r="BL191" i="3"/>
  <c r="AZ191" i="3" s="1"/>
  <c r="BA193" i="3"/>
  <c r="AZ193" i="3" s="1"/>
  <c r="BA194" i="3"/>
  <c r="AZ194" i="3" s="1"/>
  <c r="BL195" i="3"/>
  <c r="AZ195" i="3" s="1"/>
  <c r="BL198" i="3"/>
  <c r="AZ198" i="3" s="1"/>
  <c r="BA200" i="3"/>
  <c r="AZ200" i="3" s="1"/>
  <c r="BL201" i="3"/>
  <c r="G205" i="3"/>
  <c r="BL205" i="3"/>
  <c r="AZ205" i="3" s="1"/>
  <c r="BA207" i="3"/>
  <c r="AZ207" i="3" s="1"/>
  <c r="BL19" i="3"/>
  <c r="AZ19" i="3" s="1"/>
  <c r="BL21" i="3"/>
  <c r="AZ21" i="3" s="1"/>
  <c r="BA22" i="3"/>
  <c r="AZ22" i="3" s="1"/>
  <c r="BL24" i="3"/>
  <c r="AZ24" i="3" s="1"/>
  <c r="BA25" i="3"/>
  <c r="AZ25" i="3" s="1"/>
  <c r="BA26" i="3"/>
  <c r="AZ26" i="3" s="1"/>
  <c r="BL28" i="3"/>
  <c r="AZ28" i="3" s="1"/>
  <c r="G31" i="3"/>
  <c r="G32" i="3"/>
  <c r="G33" i="3"/>
  <c r="G34" i="3"/>
  <c r="BL34" i="3"/>
  <c r="AZ34" i="3" s="1"/>
  <c r="G37" i="3"/>
  <c r="G38" i="3"/>
  <c r="BL38" i="3"/>
  <c r="AZ38" i="3" s="1"/>
  <c r="G41" i="3"/>
  <c r="G42" i="3"/>
  <c r="G43" i="3"/>
  <c r="G44" i="3"/>
  <c r="BL44" i="3"/>
  <c r="AZ44" i="3" s="1"/>
  <c r="G47" i="3"/>
  <c r="G48" i="3"/>
  <c r="BL48" i="3"/>
  <c r="AZ48" i="3" s="1"/>
  <c r="BA49" i="3"/>
  <c r="AZ49" i="3" s="1"/>
  <c r="BA50" i="3"/>
  <c r="AZ50" i="3" s="1"/>
  <c r="BA51" i="3"/>
  <c r="AZ51" i="3" s="1"/>
  <c r="BL53" i="3"/>
  <c r="AZ53" i="3" s="1"/>
  <c r="BA54" i="3"/>
  <c r="AZ54" i="3" s="1"/>
  <c r="BA55" i="3"/>
  <c r="AZ55" i="3" s="1"/>
  <c r="G58" i="3"/>
  <c r="G59" i="3"/>
  <c r="G60" i="3"/>
  <c r="BL60" i="3"/>
  <c r="AZ60" i="3" s="1"/>
  <c r="G63" i="3"/>
  <c r="G64" i="3"/>
  <c r="G65" i="3"/>
  <c r="G66" i="3"/>
  <c r="G67" i="3"/>
  <c r="G68" i="3"/>
  <c r="G69" i="3"/>
  <c r="G70" i="3"/>
  <c r="G71" i="3"/>
  <c r="G72" i="3"/>
  <c r="G73" i="3"/>
  <c r="G74" i="3"/>
  <c r="G75" i="3"/>
  <c r="G76" i="3"/>
  <c r="G77" i="3"/>
  <c r="G78" i="3"/>
  <c r="G79" i="3"/>
  <c r="G80" i="3"/>
  <c r="G81" i="3"/>
  <c r="G82" i="3"/>
  <c r="G83" i="3"/>
  <c r="G84" i="3"/>
  <c r="G85" i="3"/>
  <c r="G86" i="3"/>
  <c r="G87" i="3"/>
  <c r="G88" i="3"/>
  <c r="T56" i="71"/>
  <c r="D56" i="71"/>
  <c r="T60" i="71"/>
  <c r="D60" i="71"/>
  <c r="G89" i="3"/>
  <c r="G90" i="3"/>
  <c r="G91" i="3"/>
  <c r="G92" i="3"/>
  <c r="G93" i="3"/>
  <c r="G94" i="3"/>
  <c r="G95" i="3"/>
  <c r="G96" i="3"/>
  <c r="G97" i="3"/>
  <c r="G98" i="3"/>
  <c r="G99" i="3"/>
  <c r="G100" i="3"/>
  <c r="G101" i="3"/>
  <c r="G102" i="3"/>
  <c r="G103" i="3"/>
  <c r="G104" i="3"/>
  <c r="G105" i="3"/>
  <c r="G106" i="3"/>
  <c r="G107" i="3"/>
  <c r="G108" i="3"/>
  <c r="G109" i="3"/>
  <c r="BL111" i="3"/>
  <c r="AZ111" i="3" s="1"/>
  <c r="BA112" i="3"/>
  <c r="AZ112" i="3" s="1"/>
  <c r="C40" i="68"/>
  <c r="C21" i="68"/>
  <c r="AC21" i="34"/>
  <c r="W18" i="36"/>
  <c r="U29" i="39"/>
  <c r="S21" i="34"/>
  <c r="S25" i="40"/>
  <c r="V28" i="71"/>
  <c r="D87" i="71"/>
  <c r="AA3" i="71"/>
  <c r="AB26" i="71"/>
  <c r="C66" i="71"/>
  <c r="D67" i="71"/>
  <c r="D58" i="71"/>
  <c r="AB25" i="71"/>
  <c r="F28" i="71"/>
  <c r="F27" i="71" s="1"/>
  <c r="F26" i="71" s="1"/>
  <c r="AB28" i="71"/>
  <c r="AA26" i="71"/>
  <c r="Y28" i="71"/>
  <c r="Z28" i="71" s="1"/>
  <c r="D38" i="71"/>
  <c r="C39" i="71"/>
  <c r="AA33" i="71"/>
  <c r="X33" i="71"/>
  <c r="X29" i="71"/>
  <c r="B28" i="71"/>
  <c r="B27" i="71" s="1"/>
  <c r="B26" i="71" s="1"/>
  <c r="X28" i="71"/>
  <c r="C30" i="71"/>
  <c r="Y25" i="71"/>
  <c r="Z25" i="71" s="1"/>
  <c r="Y27" i="71"/>
  <c r="Z27" i="71" s="1"/>
  <c r="F30" i="71"/>
  <c r="F31" i="71" s="1"/>
  <c r="F32" i="71" s="1"/>
  <c r="V32" i="71" s="1"/>
  <c r="AB29" i="71"/>
  <c r="Y30" i="71"/>
  <c r="Z30" i="71" s="1"/>
  <c r="AA31" i="71"/>
  <c r="Y36" i="71"/>
  <c r="Z36" i="71" s="1"/>
  <c r="AA35" i="71"/>
  <c r="Y37" i="71"/>
  <c r="Z37" i="71" s="1"/>
  <c r="Y38" i="71"/>
  <c r="Z38" i="71" s="1"/>
  <c r="X36" i="71"/>
  <c r="X38" i="71"/>
  <c r="B63" i="71"/>
  <c r="B64" i="71" s="1"/>
  <c r="S64" i="71" s="1"/>
  <c r="Q66" i="71"/>
  <c r="Q65" i="71"/>
  <c r="T68" i="71"/>
  <c r="D68" i="71"/>
  <c r="V68" i="71"/>
  <c r="Q68" i="71"/>
  <c r="U72" i="71"/>
  <c r="E71" i="71"/>
  <c r="E70" i="71" s="1"/>
  <c r="T76" i="71"/>
  <c r="C75" i="71"/>
  <c r="D76" i="71"/>
  <c r="U80" i="71"/>
  <c r="E79" i="71"/>
  <c r="E78" i="71" s="1"/>
  <c r="P68" i="71"/>
  <c r="E67" i="71"/>
  <c r="E35" i="71"/>
  <c r="E36" i="71" s="1"/>
  <c r="U36" i="71" s="1"/>
  <c r="E39" i="71"/>
  <c r="E40" i="71" s="1"/>
  <c r="U40" i="71" s="1"/>
  <c r="B36" i="71"/>
  <c r="S36" i="71" s="1"/>
  <c r="B32" i="71"/>
  <c r="S32" i="71" s="1"/>
  <c r="X25" i="71"/>
  <c r="E31" i="71"/>
  <c r="E32" i="71" s="1"/>
  <c r="U32" i="71" s="1"/>
  <c r="X30" i="71"/>
  <c r="AB30" i="71"/>
  <c r="Y31" i="71"/>
  <c r="Z31" i="71" s="1"/>
  <c r="X31" i="71"/>
  <c r="AB32" i="71"/>
  <c r="AB34" i="71"/>
  <c r="Y35" i="71"/>
  <c r="Z35" i="71" s="1"/>
  <c r="AB36" i="71"/>
  <c r="B40" i="71"/>
  <c r="S40" i="71" s="1"/>
  <c r="C51" i="71"/>
  <c r="B55" i="71"/>
  <c r="B56" i="71" s="1"/>
  <c r="S56" i="71" s="1"/>
  <c r="V24" i="71"/>
  <c r="F30" i="69"/>
  <c r="F48" i="69" s="1"/>
  <c r="D68" i="9"/>
  <c r="F31" i="12"/>
  <c r="M18" i="15"/>
  <c r="M18" i="67"/>
  <c r="F30" i="11"/>
  <c r="C48" i="11" s="1"/>
  <c r="F54" i="9"/>
  <c r="F28" i="15"/>
  <c r="F32" i="15"/>
  <c r="F60" i="15" s="1"/>
  <c r="F32" i="67"/>
  <c r="F60" i="67" s="1"/>
  <c r="F52" i="9"/>
  <c r="F28" i="67"/>
  <c r="C28" i="67" s="1"/>
  <c r="F30" i="68"/>
  <c r="F48" i="68" s="1"/>
  <c r="S42" i="21"/>
  <c r="AB42" i="21"/>
  <c r="S40" i="21"/>
  <c r="AA38" i="21"/>
  <c r="AB38" i="21"/>
  <c r="S44" i="21"/>
  <c r="AB44" i="21"/>
  <c r="W44" i="21"/>
  <c r="S37" i="21"/>
  <c r="AB36" i="21"/>
  <c r="S34" i="21"/>
  <c r="AA32" i="21"/>
  <c r="AC27" i="21"/>
  <c r="W42" i="21"/>
  <c r="U34" i="21"/>
  <c r="U27" i="21"/>
  <c r="S27" i="21"/>
  <c r="AA26" i="21"/>
  <c r="U26" i="21"/>
  <c r="W23" i="21"/>
  <c r="AC19" i="21"/>
  <c r="S17" i="21"/>
  <c r="U17" i="21"/>
  <c r="AB15" i="21"/>
  <c r="AC15" i="21"/>
  <c r="B75" i="43"/>
  <c r="B79" i="43"/>
  <c r="B76" i="43"/>
  <c r="B73" i="43"/>
  <c r="W9" i="21"/>
  <c r="E19" i="71"/>
  <c r="E18" i="71" s="1"/>
  <c r="E17" i="71" s="1"/>
  <c r="E16" i="71" s="1"/>
  <c r="V20" i="71"/>
  <c r="D17" i="71"/>
  <c r="C16" i="71"/>
  <c r="D19" i="53"/>
  <c r="B38" i="72" s="1"/>
  <c r="D16" i="53"/>
  <c r="B34" i="72" s="1"/>
  <c r="AZ585" i="3"/>
  <c r="W14" i="21"/>
  <c r="AC14" i="21"/>
  <c r="U30" i="21"/>
  <c r="AB30" i="21"/>
  <c r="AB9" i="33"/>
  <c r="U9" i="33"/>
  <c r="AA27" i="33"/>
  <c r="S27" i="33"/>
  <c r="AZ521" i="3"/>
  <c r="AZ586" i="3"/>
  <c r="AB28" i="21"/>
  <c r="U28" i="21"/>
  <c r="AB31" i="21"/>
  <c r="U31" i="21"/>
  <c r="W45" i="21"/>
  <c r="AC45" i="21"/>
  <c r="AC26" i="33"/>
  <c r="W26" i="33"/>
  <c r="W27" i="34"/>
  <c r="AC27" i="34"/>
  <c r="AA23" i="35"/>
  <c r="S23" i="35"/>
  <c r="AB31" i="39"/>
  <c r="U31" i="39"/>
  <c r="S36" i="39"/>
  <c r="AA36" i="39"/>
  <c r="G5" i="3"/>
  <c r="B3" i="3" s="1"/>
  <c r="D120" i="9"/>
  <c r="W43" i="33"/>
  <c r="S32" i="33"/>
  <c r="AA35" i="33"/>
  <c r="AC39" i="34"/>
  <c r="U44" i="34"/>
  <c r="AA13" i="37"/>
  <c r="S37" i="37"/>
  <c r="AA33" i="35"/>
  <c r="AB20" i="36"/>
  <c r="W14" i="36"/>
  <c r="S15" i="39"/>
  <c r="U25" i="39"/>
  <c r="U37" i="39"/>
  <c r="S28" i="40"/>
  <c r="S23" i="40"/>
  <c r="AA32" i="40"/>
  <c r="AC36" i="40"/>
  <c r="AC34" i="33"/>
  <c r="U30" i="33"/>
  <c r="AA39" i="34"/>
  <c r="U12" i="40"/>
  <c r="S15" i="37"/>
  <c r="AC11" i="39"/>
  <c r="AC5" i="3"/>
  <c r="W35" i="40"/>
  <c r="AB33" i="40"/>
  <c r="AC12" i="37"/>
  <c r="S21" i="40"/>
  <c r="AC11" i="35"/>
  <c r="F45" i="21"/>
  <c r="F31" i="21"/>
  <c r="J31" i="21"/>
  <c r="J30" i="21"/>
  <c r="F30" i="21"/>
  <c r="J28" i="21"/>
  <c r="F28" i="21"/>
  <c r="H14" i="21"/>
  <c r="F14" i="21"/>
  <c r="S26" i="33"/>
  <c r="F27" i="34"/>
  <c r="F24" i="36"/>
  <c r="W32" i="40"/>
  <c r="AC12" i="34"/>
  <c r="AB8" i="39"/>
  <c r="J31" i="39"/>
  <c r="F31" i="39"/>
  <c r="W33" i="33"/>
  <c r="U35" i="33"/>
  <c r="U34" i="35"/>
  <c r="U31" i="35"/>
  <c r="U31" i="36"/>
  <c r="U9" i="36"/>
  <c r="U14" i="37"/>
  <c r="W31" i="37"/>
  <c r="J36" i="39"/>
  <c r="H36" i="39"/>
  <c r="H12" i="36"/>
  <c r="H24" i="36"/>
  <c r="J26" i="37"/>
  <c r="H26" i="37"/>
  <c r="F26" i="37"/>
  <c r="H44" i="39"/>
  <c r="F44" i="39"/>
  <c r="J39" i="40"/>
  <c r="H39" i="40"/>
  <c r="BA551" i="3"/>
  <c r="AZ551" i="3" s="1"/>
  <c r="AZ398" i="3"/>
  <c r="AZ405" i="3"/>
  <c r="AZ407" i="3"/>
  <c r="AZ410" i="3"/>
  <c r="AZ415" i="3"/>
  <c r="AZ420" i="3"/>
  <c r="AZ426" i="3"/>
  <c r="AZ431" i="3"/>
  <c r="W17" i="21"/>
  <c r="BA5" i="3"/>
  <c r="G28" i="6"/>
  <c r="AZ548" i="3"/>
  <c r="H23" i="35"/>
  <c r="J23" i="35"/>
  <c r="H25" i="37"/>
  <c r="J25" i="37"/>
  <c r="F25" i="37"/>
  <c r="F38" i="40"/>
  <c r="J38" i="40"/>
  <c r="H38" i="40"/>
  <c r="BL550" i="3"/>
  <c r="AZ550" i="3" s="1"/>
  <c r="AZ424" i="3"/>
  <c r="AZ429" i="3"/>
  <c r="AZ439" i="3"/>
  <c r="AZ445" i="3"/>
  <c r="AZ447" i="3"/>
  <c r="AZ449" i="3"/>
  <c r="AZ453" i="3"/>
  <c r="AZ455" i="3"/>
  <c r="AZ460" i="3"/>
  <c r="AZ471" i="3"/>
  <c r="AZ476" i="3"/>
  <c r="AZ478" i="3"/>
  <c r="AZ484" i="3"/>
  <c r="AZ492" i="3"/>
  <c r="AZ397" i="3"/>
  <c r="AZ212" i="3"/>
  <c r="AZ217" i="3"/>
  <c r="AZ220" i="3"/>
  <c r="AZ228" i="3"/>
  <c r="AZ231" i="3"/>
  <c r="AZ244" i="3"/>
  <c r="AZ247" i="3"/>
  <c r="AZ260" i="3"/>
  <c r="AZ264" i="3"/>
  <c r="AZ282" i="3"/>
  <c r="AZ285" i="3"/>
  <c r="AZ290" i="3"/>
  <c r="AZ293" i="3"/>
  <c r="AZ153" i="3"/>
  <c r="AZ169" i="3"/>
  <c r="AZ185" i="3"/>
  <c r="AZ201" i="3"/>
  <c r="AZ18" i="3"/>
  <c r="AZ23" i="3"/>
  <c r="AZ27" i="3"/>
  <c r="AZ52" i="3"/>
  <c r="AZ56" i="3"/>
  <c r="T28" i="71"/>
  <c r="D28" i="71"/>
  <c r="U28" i="71" s="1"/>
  <c r="C27" i="71"/>
  <c r="C52" i="71"/>
  <c r="D51" i="71"/>
  <c r="D63" i="71"/>
  <c r="C64" i="71"/>
  <c r="AC21" i="33"/>
  <c r="D44" i="71"/>
  <c r="T44" i="71"/>
  <c r="D36" i="71"/>
  <c r="T36" i="71"/>
  <c r="X9" i="71"/>
  <c r="X10" i="71"/>
  <c r="AB9" i="71"/>
  <c r="AB10" i="71"/>
  <c r="S68" i="71"/>
  <c r="B67" i="71"/>
  <c r="AB24" i="71"/>
  <c r="Y21" i="71"/>
  <c r="Z21" i="71" s="1"/>
  <c r="AB23" i="71"/>
  <c r="AB21" i="71"/>
  <c r="Y18" i="71"/>
  <c r="Z18" i="71" s="1"/>
  <c r="X17" i="71"/>
  <c r="Y17" i="71"/>
  <c r="Z17" i="71" s="1"/>
  <c r="AB18" i="71"/>
  <c r="Y14" i="71"/>
  <c r="Z14" i="71" s="1"/>
  <c r="AA17" i="71"/>
  <c r="U18" i="36"/>
  <c r="AA27" i="71"/>
  <c r="AA25" i="71"/>
  <c r="AB27" i="71"/>
  <c r="S28" i="71"/>
  <c r="X27" i="71"/>
  <c r="AB37" i="71"/>
  <c r="AA36" i="71"/>
  <c r="AB33" i="71"/>
  <c r="Y33" i="71"/>
  <c r="Z33" i="71" s="1"/>
  <c r="X32" i="71"/>
  <c r="N68" i="71"/>
  <c r="X37" i="71"/>
  <c r="AA29" i="71"/>
  <c r="X39" i="71"/>
  <c r="Y9" i="71"/>
  <c r="Z9" i="71" s="1"/>
  <c r="Y10" i="71"/>
  <c r="Z10" i="71" s="1"/>
  <c r="AA9" i="71"/>
  <c r="AA10" i="71"/>
  <c r="AB39" i="71"/>
  <c r="X22" i="71"/>
  <c r="AA24" i="71"/>
  <c r="AA22" i="71"/>
  <c r="X21" i="71"/>
  <c r="AA21" i="71"/>
  <c r="X18" i="71"/>
  <c r="AA18" i="71"/>
  <c r="X13" i="71"/>
  <c r="AA14" i="71"/>
  <c r="AB17" i="71"/>
  <c r="X24" i="71"/>
  <c r="Y24" i="71"/>
  <c r="Z24" i="71" s="1"/>
  <c r="AB15" i="71"/>
  <c r="AB11" i="71"/>
  <c r="AB14" i="71"/>
  <c r="Y12" i="71"/>
  <c r="Z12" i="71" s="1"/>
  <c r="Y13" i="71"/>
  <c r="Z13" i="71" s="1"/>
  <c r="AA11" i="71"/>
  <c r="AA13" i="71"/>
  <c r="X12" i="71"/>
  <c r="Y23" i="71"/>
  <c r="Z23" i="71" s="1"/>
  <c r="Y22" i="71"/>
  <c r="Z22" i="71" s="1"/>
  <c r="AA23" i="71"/>
  <c r="X15" i="71"/>
  <c r="AA15" i="71"/>
  <c r="AB12" i="71"/>
  <c r="AB13" i="71"/>
  <c r="Y11" i="71"/>
  <c r="Z11" i="71" s="1"/>
  <c r="AA12" i="71"/>
  <c r="X11" i="71"/>
  <c r="X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AC36" i="33"/>
  <c r="S33" i="37"/>
  <c r="AC9" i="37"/>
  <c r="W11" i="37"/>
  <c r="AA8" i="37"/>
  <c r="AA9" i="37"/>
  <c r="AA12" i="37"/>
  <c r="AB9" i="37"/>
  <c r="U11" i="37"/>
  <c r="U12" i="37"/>
  <c r="AC8" i="37"/>
  <c r="AB37" i="34"/>
  <c r="S9" i="34"/>
  <c r="AC11" i="34"/>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K14" i="1"/>
  <c r="D9" i="11"/>
  <c r="C9" i="11" s="1"/>
  <c r="D19" i="12"/>
  <c r="C19" i="12" s="1"/>
  <c r="AZ13" i="3"/>
  <c r="O9" i="1"/>
  <c r="P9" i="1" s="1"/>
  <c r="O12" i="1"/>
  <c r="P12" i="1" s="1"/>
  <c r="O8" i="1"/>
  <c r="P8" i="1" s="1"/>
  <c r="H73" i="43"/>
  <c r="H90" i="43"/>
  <c r="C23" i="43"/>
  <c r="O23" i="43"/>
  <c r="I18" i="43"/>
  <c r="E17" i="43" s="1"/>
  <c r="C17" i="43" s="1"/>
  <c r="C24" i="43"/>
  <c r="H26" i="43"/>
  <c r="F26" i="43"/>
  <c r="J26" i="43"/>
  <c r="G26" i="43"/>
  <c r="E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F68" i="67"/>
  <c r="F64" i="67"/>
  <c r="F68" i="15"/>
  <c r="C36" i="68"/>
  <c r="D9" i="69"/>
  <c r="F27" i="69"/>
  <c r="C36" i="69"/>
  <c r="D9" i="68"/>
  <c r="G1" i="73"/>
  <c r="C16" i="67"/>
  <c r="C16" i="15"/>
  <c r="AC9" i="33" l="1"/>
  <c r="W9" i="33"/>
  <c r="AC34" i="35"/>
  <c r="W34" i="35"/>
  <c r="S12" i="35"/>
  <c r="AA12" i="35"/>
  <c r="S12" i="34"/>
  <c r="AA12" i="34"/>
  <c r="AZ20" i="3"/>
  <c r="AZ186" i="3"/>
  <c r="AZ181" i="3"/>
  <c r="AZ301" i="3"/>
  <c r="AZ274" i="3"/>
  <c r="AZ270" i="3"/>
  <c r="AZ250" i="3"/>
  <c r="AZ248" i="3"/>
  <c r="AZ385" i="3"/>
  <c r="AZ317" i="3"/>
  <c r="AZ482" i="3"/>
  <c r="AZ480" i="3"/>
  <c r="AZ413" i="3"/>
  <c r="AZ400" i="3"/>
  <c r="W12" i="35"/>
  <c r="AC12" i="35"/>
  <c r="E66" i="71"/>
  <c r="P67" i="71"/>
  <c r="D30" i="71"/>
  <c r="C31" i="71"/>
  <c r="C40" i="71"/>
  <c r="D39" i="71"/>
  <c r="AZ458" i="3"/>
  <c r="AZ451" i="3"/>
  <c r="AZ418" i="3"/>
  <c r="AA40" i="40"/>
  <c r="S40" i="40"/>
  <c r="AB12" i="21"/>
  <c r="U12" i="21"/>
  <c r="BL5" i="3"/>
  <c r="C74" i="71"/>
  <c r="D74" i="71" s="1"/>
  <c r="D75" i="71"/>
  <c r="D66" i="71"/>
  <c r="O66" i="71"/>
  <c r="O65" i="71"/>
  <c r="U40" i="40"/>
  <c r="AB40" i="40"/>
  <c r="AA9" i="36"/>
  <c r="S9" i="36"/>
  <c r="K16" i="1"/>
  <c r="B15" i="71"/>
  <c r="B14" i="71" s="1"/>
  <c r="B13" i="71" s="1"/>
  <c r="B12" i="71" s="1"/>
  <c r="S16" i="71"/>
  <c r="F7" i="36"/>
  <c r="J7" i="37"/>
  <c r="H7" i="36"/>
  <c r="AZ5" i="3"/>
  <c r="E59" i="40"/>
  <c r="D64" i="71"/>
  <c r="T64" i="71"/>
  <c r="C26" i="71"/>
  <c r="D26" i="71" s="1"/>
  <c r="D27" i="71"/>
  <c r="W38" i="40"/>
  <c r="AC38" i="40"/>
  <c r="S25" i="37"/>
  <c r="AA25" i="37"/>
  <c r="AB25" i="37"/>
  <c r="U25" i="37"/>
  <c r="U23" i="35"/>
  <c r="AB23" i="35"/>
  <c r="U39" i="40"/>
  <c r="AB39" i="40"/>
  <c r="AA44" i="39"/>
  <c r="S44" i="39"/>
  <c r="S26" i="37"/>
  <c r="AA26" i="37"/>
  <c r="W26" i="37"/>
  <c r="AC26" i="37"/>
  <c r="U12" i="36"/>
  <c r="AB12" i="36"/>
  <c r="AC36" i="39"/>
  <c r="W36" i="39"/>
  <c r="W31" i="39"/>
  <c r="AC31" i="39"/>
  <c r="AA24" i="36"/>
  <c r="S24" i="36"/>
  <c r="U14" i="21"/>
  <c r="AB14" i="21"/>
  <c r="W28" i="21"/>
  <c r="AC28" i="21"/>
  <c r="AC30" i="21"/>
  <c r="W30" i="21"/>
  <c r="S31" i="21"/>
  <c r="AA31" i="21"/>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205" i="3"/>
  <c r="E296" i="3"/>
  <c r="E140" i="3"/>
  <c r="E197" i="3"/>
  <c r="E173" i="3"/>
  <c r="E369" i="3"/>
  <c r="E525" i="3"/>
  <c r="E534" i="3"/>
  <c r="T6" i="3"/>
  <c r="E405" i="3"/>
  <c r="E456" i="3"/>
  <c r="E469" i="3"/>
  <c r="E512" i="3"/>
  <c r="E408" i="3"/>
  <c r="E451" i="3"/>
  <c r="E360" i="3"/>
  <c r="E556" i="3"/>
  <c r="E497" i="3"/>
  <c r="E13" i="3"/>
  <c r="E494" i="3"/>
  <c r="E452" i="3"/>
  <c r="E470" i="3"/>
  <c r="E420" i="3"/>
  <c r="E26" i="3"/>
  <c r="E104" i="3"/>
  <c r="E41" i="3"/>
  <c r="E115" i="3"/>
  <c r="E198" i="3"/>
  <c r="E139" i="3"/>
  <c r="E225" i="3"/>
  <c r="E281" i="3"/>
  <c r="E243" i="3"/>
  <c r="E332" i="3"/>
  <c r="E391" i="3"/>
  <c r="E356" i="3"/>
  <c r="AL6" i="3"/>
  <c r="E42" i="3"/>
  <c r="E94" i="3"/>
  <c r="E75" i="3"/>
  <c r="E540"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488" i="3"/>
  <c r="E409"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C15" i="71"/>
  <c r="T16" i="71"/>
  <c r="N67" i="71"/>
  <c r="B66" i="71"/>
  <c r="D52" i="71"/>
  <c r="T52" i="71"/>
  <c r="AB38" i="40"/>
  <c r="U38" i="40"/>
  <c r="AA38" i="40"/>
  <c r="S38" i="40"/>
  <c r="AC25" i="37"/>
  <c r="W25" i="37"/>
  <c r="AC23" i="35"/>
  <c r="W23" i="35"/>
  <c r="AC39" i="40"/>
  <c r="W39" i="40"/>
  <c r="U44" i="39"/>
  <c r="AB44" i="39"/>
  <c r="AB26" i="37"/>
  <c r="U26" i="37"/>
  <c r="AB24" i="36"/>
  <c r="U24" i="36"/>
  <c r="AB36" i="39"/>
  <c r="U36" i="39"/>
  <c r="AA31" i="39"/>
  <c r="S31" i="39"/>
  <c r="AA27" i="34"/>
  <c r="S27" i="34"/>
  <c r="S14" i="21"/>
  <c r="AA14" i="21"/>
  <c r="AA28" i="21"/>
  <c r="S28" i="21"/>
  <c r="S30" i="21"/>
  <c r="AA30" i="21"/>
  <c r="AC31" i="21"/>
  <c r="W31" i="21"/>
  <c r="AA45" i="21"/>
  <c r="S45" i="21"/>
  <c r="D121" i="9"/>
  <c r="D7" i="52" s="1"/>
  <c r="D6" i="52"/>
  <c r="E15" i="71"/>
  <c r="E14" i="71" s="1"/>
  <c r="E13" i="71" s="1"/>
  <c r="E12" i="71" s="1"/>
  <c r="V16" i="71"/>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AY6" i="3"/>
  <c r="E3" i="6"/>
  <c r="M14" i="1"/>
  <c r="D5" i="43"/>
  <c r="J10" i="40"/>
  <c r="AC10" i="40" s="1"/>
  <c r="H10" i="39"/>
  <c r="U10" i="39" s="1"/>
  <c r="F10" i="40"/>
  <c r="S10" i="40" s="1"/>
  <c r="J10" i="39"/>
  <c r="W10" i="39" s="1"/>
  <c r="H10" i="40"/>
  <c r="AB10" i="40" s="1"/>
  <c r="D26" i="43"/>
  <c r="C25" i="43" s="1"/>
  <c r="C7" i="43"/>
  <c r="C5" i="43" s="1"/>
  <c r="D10" i="52"/>
  <c r="D125" i="9"/>
  <c r="D11" i="52" s="1"/>
  <c r="B7" i="74"/>
  <c r="C7" i="74" s="1"/>
  <c r="F67" i="39"/>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M17" i="15"/>
  <c r="F59" i="15"/>
  <c r="P28" i="43"/>
  <c r="B66" i="40" s="1"/>
  <c r="P25" i="43"/>
  <c r="P29" i="43"/>
  <c r="P27" i="43"/>
  <c r="B70" i="39" s="1"/>
  <c r="C49" i="15"/>
  <c r="J18" i="15"/>
  <c r="C32" i="67"/>
  <c r="Q60" i="67"/>
  <c r="Q73" i="67"/>
  <c r="M11" i="67"/>
  <c r="J10" i="67" s="1"/>
  <c r="F11" i="15"/>
  <c r="M11" i="15"/>
  <c r="J10" i="15" s="1"/>
  <c r="J5" i="15" s="1"/>
  <c r="J24" i="15" s="1"/>
  <c r="F11" i="67"/>
  <c r="F1" i="15"/>
  <c r="Q52" i="15"/>
  <c r="C32" i="15"/>
  <c r="F1" i="67"/>
  <c r="Q52" i="67"/>
  <c r="Q60" i="15"/>
  <c r="Q73" i="15"/>
  <c r="Q61" i="67"/>
  <c r="Q74" i="67"/>
  <c r="Q74" i="15"/>
  <c r="Q61" i="15"/>
  <c r="AE11" i="1"/>
  <c r="AE9" i="1"/>
  <c r="F27" i="68"/>
  <c r="AE7" i="1"/>
  <c r="AE8" i="1"/>
  <c r="AE12" i="1"/>
  <c r="AE10" i="1"/>
  <c r="AE6" i="1"/>
  <c r="D31" i="71" l="1"/>
  <c r="C32" i="71"/>
  <c r="T40" i="71"/>
  <c r="D40" i="71"/>
  <c r="P65" i="71"/>
  <c r="P66" i="71"/>
  <c r="E11" i="71"/>
  <c r="E10" i="71" s="1"/>
  <c r="E9" i="71" s="1"/>
  <c r="E8" i="71" s="1"/>
  <c r="E7" i="71" s="1"/>
  <c r="E6" i="71" s="1"/>
  <c r="E5" i="71" s="1"/>
  <c r="V12" i="71"/>
  <c r="C14" i="71"/>
  <c r="D15" i="71"/>
  <c r="E65" i="39"/>
  <c r="N66" i="71"/>
  <c r="N65" i="71"/>
  <c r="B11" i="71"/>
  <c r="B10" i="71" s="1"/>
  <c r="B9" i="71" s="1"/>
  <c r="B8" i="71" s="1"/>
  <c r="B7" i="71" s="1"/>
  <c r="B6" i="71" s="1"/>
  <c r="B5" i="71" s="1"/>
  <c r="S12" i="71"/>
  <c r="L37" i="43"/>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D3" i="34"/>
  <c r="D19" i="11"/>
  <c r="C19" i="11" s="1"/>
  <c r="C17" i="4"/>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53" i="67"/>
  <c r="C53" i="15"/>
  <c r="C48" i="15" s="1"/>
  <c r="C66" i="15" s="1"/>
  <c r="C10" i="15"/>
  <c r="C5" i="15" s="1"/>
  <c r="C38" i="15" s="1"/>
  <c r="F25" i="12"/>
  <c r="F22" i="69"/>
  <c r="F41" i="69" s="1"/>
  <c r="F24" i="67"/>
  <c r="C24" i="67" s="1"/>
  <c r="F22" i="11"/>
  <c r="F22" i="68"/>
  <c r="F24" i="15"/>
  <c r="C24" i="15" s="1"/>
  <c r="M27" i="15"/>
  <c r="M27" i="67"/>
  <c r="F41" i="15"/>
  <c r="F41" i="67"/>
  <c r="F69" i="67" l="1"/>
  <c r="B4" i="52"/>
  <c r="B43" i="72" s="1"/>
  <c r="B14" i="74"/>
  <c r="AH6" i="1"/>
  <c r="C33" i="21"/>
  <c r="B1" i="74"/>
  <c r="T32" i="71"/>
  <c r="D32" i="71"/>
  <c r="D116" i="43"/>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D26" i="6"/>
  <c r="D8" i="6"/>
  <c r="D14" i="6"/>
  <c r="D6" i="6"/>
  <c r="D9" i="6"/>
  <c r="D10" i="6"/>
  <c r="D29" i="6"/>
  <c r="H21" i="6"/>
  <c r="D19" i="6"/>
  <c r="M19" i="9" s="1"/>
  <c r="C118" i="9" s="1"/>
  <c r="B2" i="74" s="1"/>
  <c r="C18" i="4"/>
  <c r="D23" i="6"/>
  <c r="D5" i="6"/>
  <c r="D12" i="6"/>
  <c r="D11" i="6"/>
  <c r="D13" i="6"/>
  <c r="D28" i="6"/>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5" i="11"/>
  <c r="C26" i="11"/>
  <c r="D22" i="11" s="1"/>
  <c r="C60" i="67"/>
  <c r="D10" i="69"/>
  <c r="C34" i="69"/>
  <c r="D10" i="68"/>
  <c r="C17" i="67"/>
  <c r="C17" i="15"/>
  <c r="C14" i="67"/>
  <c r="F7" i="67"/>
  <c r="F31" i="67" l="1"/>
  <c r="C6" i="67"/>
  <c r="C10" i="67" s="1"/>
  <c r="C5" i="67" s="1"/>
  <c r="C38" i="67" s="1"/>
  <c r="M7" i="67"/>
  <c r="F50" i="67"/>
  <c r="J33" i="21"/>
  <c r="F33" i="21"/>
  <c r="H33" i="21"/>
  <c r="D30" i="6"/>
  <c r="H24" i="6"/>
  <c r="R24" i="6" s="1"/>
  <c r="R11" i="1" s="1"/>
  <c r="H22" i="6"/>
  <c r="H25" i="6"/>
  <c r="R25" i="6" s="1"/>
  <c r="R12" i="1" s="1"/>
  <c r="C12" i="71"/>
  <c r="D13" i="71"/>
  <c r="C18" i="67"/>
  <c r="C15" i="67"/>
  <c r="H23" i="6"/>
  <c r="C30" i="43"/>
  <c r="B2" i="43" s="1"/>
  <c r="B3" i="43" s="1"/>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C10" i="68"/>
  <c r="D19" i="68"/>
  <c r="H69" i="39"/>
  <c r="I67" i="39"/>
  <c r="G65" i="40"/>
  <c r="H63" i="40"/>
  <c r="C43" i="37"/>
  <c r="C42" i="37"/>
  <c r="I48" i="35"/>
  <c r="C48" i="33"/>
  <c r="C49" i="33"/>
  <c r="H58" i="21"/>
  <c r="E47" i="37"/>
  <c r="F47" i="37" s="1"/>
  <c r="E46" i="37"/>
  <c r="F46" i="37" s="1"/>
  <c r="I47" i="37"/>
  <c r="J47" i="37" s="1"/>
  <c r="E53" i="33"/>
  <c r="F53" i="33" s="1"/>
  <c r="E52" i="33"/>
  <c r="F52" i="33" s="1"/>
  <c r="C33" i="15"/>
  <c r="C22" i="11"/>
  <c r="C31" i="11" s="1"/>
  <c r="C33" i="67"/>
  <c r="C34" i="68"/>
  <c r="E6" i="76"/>
  <c r="B6" i="76"/>
  <c r="C14" i="15"/>
  <c r="AA33" i="21" l="1"/>
  <c r="S33" i="21"/>
  <c r="F59" i="67"/>
  <c r="C49" i="67"/>
  <c r="C48" i="67" s="1"/>
  <c r="C66" i="67" s="1"/>
  <c r="AB33" i="21"/>
  <c r="U33" i="21"/>
  <c r="AC33" i="21"/>
  <c r="W33" i="21"/>
  <c r="J6" i="67"/>
  <c r="M17" i="67"/>
  <c r="C11" i="71"/>
  <c r="T12" i="71"/>
  <c r="D12" i="71"/>
  <c r="U12"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F7" i="21"/>
  <c r="J48" i="35"/>
  <c r="J18" i="67" l="1"/>
  <c r="J5" i="67"/>
  <c r="J24" i="67" s="1"/>
  <c r="J19" i="67"/>
  <c r="J7" i="21"/>
  <c r="AC7" i="21" s="1"/>
  <c r="V48" i="21" s="1"/>
  <c r="I48" i="21" s="1"/>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S7" i="21"/>
  <c r="AA7" i="21"/>
  <c r="R48" i="21" s="1"/>
  <c r="J63" i="40"/>
  <c r="I65" i="40"/>
  <c r="K48" i="35"/>
  <c r="L48" i="35" s="1"/>
  <c r="M48" i="35" s="1"/>
  <c r="N48" i="35" s="1"/>
  <c r="O48" i="35" s="1"/>
  <c r="H7" i="35" s="1"/>
  <c r="W7" i="21" l="1"/>
  <c r="J7" i="35"/>
  <c r="C9" i="71"/>
  <c r="D10"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M21" i="15"/>
  <c r="F35" i="67"/>
  <c r="C8" i="71" l="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7" i="71" l="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C6" i="71" l="1"/>
  <c r="D7"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19" i="9"/>
  <c r="L51" i="67"/>
  <c r="D2" i="33"/>
  <c r="D102" i="9" l="1"/>
  <c r="D21" i="9"/>
  <c r="B3" i="21"/>
  <c r="D6" i="71"/>
  <c r="C5" i="71"/>
  <c r="D5" i="71" s="1"/>
  <c r="M24" i="43" s="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6"/>
  <c r="D2" i="37"/>
  <c r="D20" i="9"/>
  <c r="D2" i="35"/>
  <c r="D2" i="34"/>
  <c r="D103" i="9" l="1"/>
  <c r="Q57" i="67"/>
  <c r="Q66" i="67"/>
  <c r="Q75" i="67" s="1"/>
  <c r="Q62" i="67"/>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AO9" i="1"/>
  <c r="C19" i="9"/>
  <c r="AO10" i="1"/>
  <c r="AO12" i="1"/>
  <c r="AO7" i="1"/>
  <c r="AO8" i="1"/>
  <c r="AO6" i="1"/>
  <c r="C102" i="9" l="1"/>
  <c r="D22" i="9"/>
  <c r="G19" i="9"/>
  <c r="C21" i="9"/>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G21" i="9" l="1"/>
  <c r="D14" i="74"/>
  <c r="C103" i="9"/>
  <c r="G20" i="9"/>
  <c r="C32"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35" i="9" l="1"/>
  <c r="C34" i="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E14" i="74" l="1"/>
  <c r="F14" i="74"/>
  <c r="B5" i="74"/>
  <c r="D5" i="74" s="1"/>
  <c r="B6" i="74" l="1"/>
  <c r="D6" i="74" s="1"/>
  <c r="M55" i="9" l="1"/>
  <c r="D59" i="9"/>
  <c r="B20" i="72"/>
  <c r="C96" i="9"/>
  <c r="E96" i="9"/>
  <c r="E97" i="9"/>
  <c r="F119" i="9"/>
  <c r="F5" i="52"/>
  <c r="B53" i="72"/>
  <c r="C6" i="74"/>
  <c r="C73" i="9"/>
  <c r="C78" i="9"/>
  <c r="D9" i="52"/>
  <c r="D123" i="9"/>
  <c r="M48" i="9"/>
  <c r="G4" i="52"/>
  <c r="B52" i="72"/>
  <c r="G118" i="9"/>
  <c r="F118" i="9"/>
  <c r="F4" i="52"/>
  <c r="B51" i="72"/>
  <c r="D5" i="53"/>
  <c r="D6" i="53"/>
  <c r="B22" i="72"/>
  <c r="H108" i="9"/>
  <c r="D15" i="53"/>
  <c r="B31" i="72"/>
  <c r="B30" i="72"/>
  <c r="N61" i="9"/>
  <c r="N59" i="9"/>
  <c r="N60" i="9"/>
  <c r="B21" i="72"/>
  <c r="D7" i="53"/>
  <c r="B49" i="72"/>
  <c r="D5" i="52"/>
  <c r="D119" i="9"/>
  <c r="C86" i="9"/>
  <c r="C93" i="9"/>
  <c r="B48" i="72"/>
  <c r="E4" i="52"/>
  <c r="D54" i="9"/>
  <c r="C64" i="9"/>
  <c r="C63" i="9"/>
  <c r="C67" i="9"/>
  <c r="C68" i="9"/>
  <c r="C81" i="9"/>
  <c r="E81" i="9"/>
  <c r="C72" i="9"/>
  <c r="C79" i="9"/>
  <c r="C80" i="9"/>
  <c r="E80" i="9"/>
  <c r="D122" i="9"/>
  <c r="D8" i="52"/>
  <c r="H107" i="9"/>
  <c r="D13" i="53"/>
  <c r="D14" i="53"/>
  <c r="B32" i="72"/>
  <c r="E118" i="9"/>
  <c r="D118" i="9"/>
  <c r="D4" i="52"/>
  <c r="B47" i="72"/>
  <c r="N58" i="9"/>
  <c r="D55" i="9"/>
  <c r="M53" i="9"/>
  <c r="N57" i="9"/>
  <c r="P57" i="9"/>
  <c r="H5" i="52"/>
  <c r="H119" i="9"/>
  <c r="D52" i="9"/>
  <c r="D53" i="9"/>
  <c r="C105" i="9"/>
  <c r="I4" i="52"/>
  <c r="H4" i="52"/>
  <c r="C104" i="9"/>
  <c r="H102" i="9"/>
  <c r="C5" i="74"/>
  <c r="I118" i="9"/>
  <c r="H118" i="9"/>
  <c r="H101" i="9"/>
  <c r="D45" i="9"/>
  <c r="C85" i="9"/>
  <c r="C95" i="9"/>
  <c r="C97" i="9"/>
  <c r="D58" i="9"/>
  <c r="D56" i="9"/>
  <c r="M54"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D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D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E00-000004000000}">
      <text>
        <r>
          <rPr>
            <b/>
            <sz val="12"/>
            <color indexed="81"/>
            <rFont val="宋体"/>
            <family val="3"/>
            <charset val="134"/>
          </rPr>
          <t>所属项目品质或
物业管理</t>
        </r>
      </text>
    </comment>
    <comment ref="B90" authorId="0" shapeId="0" xr:uid="{00000000-0006-0000-1E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F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F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F00-000004000000}">
      <text>
        <r>
          <rPr>
            <b/>
            <sz val="12"/>
            <color indexed="81"/>
            <rFont val="宋体"/>
            <family val="3"/>
            <charset val="134"/>
          </rPr>
          <t>所属项目品质或
物业管理</t>
        </r>
      </text>
    </comment>
    <comment ref="B86" authorId="0" shapeId="0" xr:uid="{00000000-0006-0000-1F00-000005000000}">
      <text>
        <r>
          <rPr>
            <b/>
            <sz val="12"/>
            <color indexed="81"/>
            <rFont val="宋体"/>
            <family val="3"/>
            <charset val="134"/>
          </rPr>
          <t>所属项目品质</t>
        </r>
      </text>
    </comment>
    <comment ref="B89" authorId="0" shapeId="0" xr:uid="{00000000-0006-0000-1F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20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1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1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2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4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400-000002000000}">
      <text>
        <r>
          <rPr>
            <sz val="11"/>
            <color indexed="81"/>
            <rFont val="宋体"/>
            <family val="3"/>
            <charset val="134"/>
          </rPr>
          <t xml:space="preserve">录入层数，将对应的结果录入至左侧相应层的楼层修正系数单元格中
</t>
        </r>
      </text>
    </comment>
    <comment ref="C16" authorId="1" shapeId="0" xr:uid="{00000000-0006-0000-24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400-000004000000}">
      <text>
        <r>
          <rPr>
            <sz val="12"/>
            <color indexed="81"/>
            <rFont val="宋体"/>
            <family val="3"/>
            <charset val="134"/>
          </rPr>
          <t>1.05~1.1</t>
        </r>
        <r>
          <rPr>
            <sz val="9"/>
            <color indexed="81"/>
            <rFont val="宋体"/>
            <family val="3"/>
            <charset val="134"/>
          </rPr>
          <t xml:space="preserve">
</t>
        </r>
      </text>
    </comment>
    <comment ref="E16" authorId="1" shapeId="0" xr:uid="{00000000-0006-0000-24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4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4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4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400-000009000000}">
      <text>
        <r>
          <rPr>
            <sz val="9"/>
            <color indexed="81"/>
            <rFont val="宋体"/>
            <family val="3"/>
            <charset val="134"/>
          </rPr>
          <t xml:space="preserve">需在此处填写剩余土地年限
</t>
        </r>
      </text>
    </comment>
    <comment ref="C111" authorId="0" shapeId="0" xr:uid="{00000000-0006-0000-24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4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4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4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4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4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4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4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4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4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4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4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4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<sst xmlns="http://schemas.openxmlformats.org/spreadsheetml/2006/main" count="7869" uniqueCount="3437">
  <si>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</si>
  <si>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</si>
  <si>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</si>
  <si>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</si>
  <si>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</si>
  <si>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</si>
  <si>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</si>
  <si>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</si>
  <si>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</si>
  <si>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</si>
  <si>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</si>
  <si>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</si>
  <si>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</si>
  <si>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</si>
  <si>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</si>
  <si>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</si>
  <si>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</si>
  <si>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</si>
  <si>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</si>
  <si>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</si>
  <si>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</si>
  <si>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</si>
  <si>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</si>
  <si>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</si>
  <si>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</si>
  <si>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</si>
  <si>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</si>
  <si>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</si>
  <si>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</si>
  <si>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</si>
  <si>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</si>
  <si>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</si>
  <si>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</si>
  <si>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</si>
  <si>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</si>
  <si>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</si>
  <si>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</si>
  <si>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</si>
  <si>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</si>
  <si>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</si>
  <si>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</si>
  <si>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</si>
  <si>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</si>
  <si>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</si>
  <si>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</si>
  <si>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</si>
  <si>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</si>
  <si>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</si>
  <si>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</si>
  <si>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</si>
  <si>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</si>
  <si>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</si>
  <si>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</si>
  <si>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</si>
  <si>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</si>
  <si>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</si>
  <si>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</si>
  <si>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</si>
  <si>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</si>
  <si>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</si>
  <si>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</si>
  <si>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</si>
  <si>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</si>
  <si>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</si>
  <si>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</si>
  <si>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</si>
  <si>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</si>
  <si>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</si>
  <si>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</si>
  <si>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</si>
  <si>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</si>
  <si>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</si>
  <si>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</si>
  <si>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</si>
  <si>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</si>
  <si>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</si>
  <si>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</si>
  <si>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</si>
  <si>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</si>
  <si>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</si>
  <si>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</si>
  <si>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</si>
  <si>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</si>
  <si>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</si>
  <si>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</si>
  <si>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</si>
  <si>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</si>
  <si>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</si>
  <si>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</si>
  <si>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</si>
  <si>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</si>
  <si>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</si>
  <si>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</si>
  <si>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</si>
  <si>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</si>
  <si>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</si>
  <si>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</si>
  <si>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</si>
  <si>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</si>
  <si>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</si>
  <si>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</si>
  <si>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</si>
  <si>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</si>
  <si>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</si>
  <si>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</si>
  <si>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</si>
  <si>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</si>
  <si>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</si>
  <si>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</si>
  <si>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</si>
  <si>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</si>
  <si>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</si>
  <si>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</si>
  <si>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</si>
  <si>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</si>
  <si>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</si>
  <si>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</si>
  <si>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</si>
  <si>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</si>
  <si>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</si>
  <si>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</si>
  <si>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</si>
  <si>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</si>
  <si>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</si>
  <si>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</si>
  <si>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</si>
  <si>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</si>
  <si>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</si>
  <si>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</si>
  <si>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</si>
  <si>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</si>
  <si>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</si>
  <si>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</si>
  <si>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</si>
  <si>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</si>
  <si>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</si>
  <si>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</si>
  <si>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</si>
  <si>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</si>
  <si>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</si>
  <si>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</si>
  <si>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</si>
  <si>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</si>
  <si>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</si>
  <si>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</si>
  <si>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</si>
  <si>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</si>
  <si>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</si>
  <si>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</si>
  <si>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</si>
  <si>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</si>
  <si>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</si>
  <si>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</si>
  <si>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</si>
  <si>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</si>
  <si>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</si>
  <si>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</si>
  <si>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</si>
  <si>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</si>
  <si>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</si>
  <si>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</si>
  <si>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</si>
  <si>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</si>
  <si>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</si>
  <si>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</si>
  <si>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</si>
  <si>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</si>
  <si>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</si>
  <si>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</si>
  <si>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</si>
  <si>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</si>
  <si>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</si>
  <si>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</si>
  <si>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</si>
  <si>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</si>
  <si>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</si>
  <si>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</si>
  <si>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</si>
  <si>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</si>
  <si>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</si>
  <si>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</si>
  <si>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</si>
  <si>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</si>
  <si>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</si>
  <si>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</si>
  <si>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</si>
  <si>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</si>
  <si>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</si>
  <si>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</si>
  <si>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</si>
  <si>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</si>
  <si>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</si>
  <si>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</si>
  <si>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</si>
  <si>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</si>
  <si>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</si>
  <si>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</si>
  <si>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</si>
  <si>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</si>
  <si>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</si>
  <si>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</si>
  <si>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</si>
  <si>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</si>
  <si>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</si>
  <si>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</si>
  <si>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</si>
  <si>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</si>
  <si>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</si>
  <si>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</si>
  <si>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</si>
  <si>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</si>
  <si>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</si>
  <si>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</si>
  <si>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</si>
  <si>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</si>
  <si>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</si>
  <si>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</si>
  <si>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</si>
  <si>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</si>
  <si>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</si>
  <si>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</si>
  <si>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</si>
  <si>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</si>
  <si>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</si>
  <si>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</si>
  <si>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</si>
  <si>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</si>
  <si>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</si>
  <si>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</si>
  <si>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</si>
  <si>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</si>
  <si>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</si>
  <si>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</si>
  <si>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</si>
  <si>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</si>
  <si>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</si>
  <si>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</si>
  <si>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</si>
  <si>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</si>
  <si>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</si>
  <si>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</si>
  <si>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</si>
  <si>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</si>
  <si>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</si>
  <si>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</si>
  <si>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</si>
  <si>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</si>
  <si>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</si>
  <si>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</si>
  <si>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</si>
  <si>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</si>
  <si>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</si>
  <si>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</si>
  <si>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</si>
  <si>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</si>
  <si>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</si>
  <si>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</si>
  <si>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</si>
  <si>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</si>
  <si>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</si>
  <si>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</si>
  <si>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</si>
  <si>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</si>
  <si>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</si>
  <si>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</si>
  <si>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</si>
  <si>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</si>
  <si>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</si>
  <si>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</si>
  <si>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</si>
  <si>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</si>
  <si>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</si>
  <si>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</si>
  <si>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</si>
  <si>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</si>
  <si>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</si>
  <si>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</si>
  <si>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</si>
  <si>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</si>
  <si>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</si>
  <si>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</si>
  <si>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</si>
  <si>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</si>
  <si>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</si>
  <si>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</si>
  <si>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</si>
  <si>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</si>
  <si>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</si>
  <si>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</si>
  <si>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</si>
  <si>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</si>
  <si>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</si>
  <si>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</si>
  <si>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</si>
  <si>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</si>
  <si>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</si>
  <si>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</si>
  <si>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</si>
  <si>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</si>
  <si>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</si>
  <si>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</si>
  <si>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</si>
  <si>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</si>
  <si>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</si>
  <si>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</si>
  <si>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</si>
  <si>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</si>
  <si>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</si>
  <si>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</si>
  <si>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</si>
  <si>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</si>
  <si>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</si>
  <si>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</si>
  <si>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</si>
  <si>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</si>
  <si>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</si>
  <si>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</si>
  <si>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</si>
  <si>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</si>
  <si>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</si>
  <si>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</si>
  <si>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</si>
  <si>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</si>
  <si>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</si>
  <si>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</si>
  <si>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</si>
  <si>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</si>
  <si>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</si>
  <si>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</si>
  <si>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</si>
  <si>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</si>
  <si>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</si>
  <si>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</si>
  <si>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</si>
  <si>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</si>
  <si>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</si>
  <si>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</si>
  <si>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</si>
  <si>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</si>
  <si>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</si>
  <si>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</si>
  <si>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</si>
  <si>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</si>
  <si>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</si>
  <si>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</si>
  <si>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</si>
  <si>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</si>
  <si>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</si>
  <si>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</si>
  <si>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</si>
  <si>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</si>
  <si>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</si>
  <si>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</si>
  <si>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</si>
  <si>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</si>
  <si>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</si>
  <si>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</si>
  <si>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</si>
  <si>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</si>
  <si>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</si>
  <si>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</si>
  <si>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</si>
  <si>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</si>
  <si>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</si>
  <si>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</si>
  <si>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</si>
  <si>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</si>
  <si>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</si>
  <si>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</si>
  <si>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</si>
  <si>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</si>
  <si>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</si>
  <si>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</si>
  <si>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</si>
  <si>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</si>
  <si>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</si>
  <si>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</si>
  <si>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</si>
  <si>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</si>
  <si>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</si>
  <si>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</si>
  <si>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</si>
  <si>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</si>
  <si>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</si>
  <si>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</si>
  <si>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</si>
  <si>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</si>
  <si>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</si>
  <si>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</si>
  <si>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</si>
  <si>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</si>
  <si>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</si>
  <si>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</si>
  <si>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</si>
  <si>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</si>
  <si>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</si>
  <si>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</si>
  <si>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</si>
  <si>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</si>
  <si>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</si>
  <si>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</si>
  <si>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</si>
  <si>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</si>
  <si>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</si>
  <si>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</si>
  <si>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</si>
  <si>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</si>
  <si>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</si>
  <si>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</si>
  <si>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</si>
  <si>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</si>
  <si>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</si>
  <si>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</si>
  <si>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</si>
  <si>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</si>
  <si>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</si>
  <si>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</si>
  <si>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</si>
  <si>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</si>
  <si>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</si>
  <si>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</si>
  <si>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</si>
  <si>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</si>
  <si>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</si>
  <si>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</si>
  <si>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</si>
  <si>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</si>
  <si>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</si>
  <si>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</si>
  <si>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</si>
  <si>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</si>
  <si>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</si>
  <si>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</si>
  <si>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</si>
  <si>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</si>
  <si>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</si>
  <si>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</si>
  <si>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</si>
  <si>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</si>
  <si>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</si>
  <si>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</si>
  <si>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</si>
  <si>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</si>
  <si>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</si>
  <si>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</si>
  <si>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</si>
  <si>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</si>
  <si>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</si>
  <si>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</si>
  <si>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</si>
  <si>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</si>
  <si>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</si>
  <si>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</si>
  <si>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</si>
  <si>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</si>
  <si>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</si>
  <si>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</si>
  <si>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</si>
  <si>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</si>
  <si>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</si>
  <si>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</si>
  <si>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</si>
  <si>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</si>
  <si>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</si>
  <si>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</si>
  <si>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</si>
  <si>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</si>
  <si>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</si>
  <si>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</si>
  <si>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</si>
  <si>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</si>
  <si>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</si>
  <si>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</si>
  <si>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</si>
  <si>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</si>
  <si>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</si>
  <si>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</si>
  <si>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</si>
  <si>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</si>
  <si>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</si>
  <si>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</si>
  <si>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</si>
  <si>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</si>
  <si>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</si>
  <si>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</si>
  <si>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</si>
  <si>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</si>
  <si>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</si>
  <si>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</si>
  <si>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</si>
  <si>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</si>
  <si>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</si>
  <si>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</si>
  <si>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</si>
  <si>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</si>
  <si>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</si>
  <si>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</si>
  <si>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</si>
  <si>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</si>
  <si>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</si>
  <si>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</si>
  <si>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</si>
  <si>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</si>
  <si>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</si>
  <si>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</si>
  <si>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</si>
  <si>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</si>
  <si>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</si>
  <si>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</si>
  <si>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</si>
  <si>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</si>
  <si>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</si>
  <si>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</si>
  <si>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</si>
  <si>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</si>
  <si>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</si>
  <si>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</si>
  <si>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</si>
  <si>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</si>
  <si>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</si>
  <si>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</si>
  <si>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</si>
  <si>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</si>
  <si>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</si>
  <si>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</si>
  <si>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</si>
  <si>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</si>
  <si>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</si>
  <si>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</si>
  <si>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</si>
  <si>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</si>
  <si>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</si>
  <si>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</si>
  <si>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</si>
  <si>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</si>
  <si>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</si>
  <si>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</si>
  <si>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</si>
  <si>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</si>
  <si>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</si>
  <si>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</si>
  <si>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</si>
  <si>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</si>
  <si>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</si>
  <si>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</si>
  <si>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</si>
  <si>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</si>
  <si>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</si>
  <si>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</si>
  <si>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</si>
  <si>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</si>
  <si>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</si>
  <si>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</si>
  <si>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</si>
  <si>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</si>
  <si>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</si>
  <si>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</si>
  <si>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</si>
  <si>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</si>
  <si>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</si>
  <si>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</si>
  <si>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</si>
  <si>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</si>
  <si>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</si>
  <si>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</si>
  <si>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</si>
  <si>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</si>
  <si>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</si>
  <si>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</si>
  <si>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</si>
  <si>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</si>
  <si>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</si>
  <si>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</si>
  <si>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</si>
  <si>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</si>
  <si>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</si>
  <si>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</si>
  <si>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</si>
  <si>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</si>
  <si>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</si>
  <si>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</si>
  <si>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</si>
  <si>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</si>
  <si>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</si>
  <si>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</si>
  <si>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</si>
  <si>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</si>
  <si>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</si>
  <si>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</si>
  <si>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</si>
  <si>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</si>
  <si>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</si>
  <si>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</si>
  <si>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</si>
  <si>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</si>
  <si>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</si>
  <si>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</si>
  <si>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</si>
  <si>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</si>
  <si>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</si>
  <si>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</si>
  <si>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</si>
  <si>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</si>
  <si>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</si>
  <si>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</si>
  <si>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</si>
  <si>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</si>
  <si>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</si>
  <si>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</si>
  <si>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</si>
  <si>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</si>
  <si>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</si>
  <si>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</si>
  <si>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</si>
  <si>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</si>
  <si>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</si>
  <si>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</si>
  <si>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</si>
  <si>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</si>
  <si>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</si>
  <si>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</si>
  <si>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</si>
  <si>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</si>
  <si>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</si>
  <si>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</si>
  <si>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</si>
  <si>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</si>
  <si>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</si>
  <si>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</si>
  <si>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</si>
  <si>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</si>
  <si>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</si>
  <si>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</si>
  <si>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</si>
  <si>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</si>
  <si>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</si>
  <si>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</si>
  <si>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</si>
  <si>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</si>
  <si>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</si>
  <si>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</si>
  <si>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</si>
  <si>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</si>
  <si>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</si>
  <si>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</si>
  <si>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</si>
  <si>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</si>
  <si>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</si>
  <si>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</si>
  <si>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</si>
  <si>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</si>
  <si>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</si>
  <si>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</si>
  <si>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</si>
  <si>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</si>
  <si>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</si>
  <si>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</si>
  <si>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</si>
  <si>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</si>
  <si>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</si>
  <si>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</si>
  <si>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</si>
  <si>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</si>
  <si>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</si>
  <si>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</si>
  <si>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</si>
  <si>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</si>
  <si>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</si>
  <si>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</si>
  <si>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</si>
  <si>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</si>
  <si>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</si>
  <si>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</si>
  <si>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</si>
  <si>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</si>
  <si>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</si>
  <si>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</si>
  <si>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</si>
  <si>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</si>
  <si>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</si>
  <si>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</si>
  <si>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</si>
  <si>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</si>
  <si>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</si>
  <si>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</si>
  <si>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</si>
  <si>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</si>
  <si>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</si>
  <si>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</si>
  <si>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</si>
  <si>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</si>
  <si>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</si>
  <si>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</si>
  <si>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</si>
  <si>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</si>
  <si>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</si>
  <si>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</si>
  <si>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</si>
  <si>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</si>
  <si>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</si>
  <si>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</si>
  <si>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</si>
  <si>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</si>
  <si>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</si>
  <si>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</si>
  <si>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</si>
  <si>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</si>
  <si>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</si>
  <si>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</si>
  <si>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</si>
  <si>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</si>
  <si>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</si>
  <si>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</si>
  <si>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</si>
  <si>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</si>
  <si>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</si>
  <si>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</si>
  <si>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</si>
  <si>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</si>
  <si>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</si>
  <si>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</si>
  <si>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</si>
  <si>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</si>
  <si>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</si>
  <si>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</si>
  <si>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</si>
  <si>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</si>
  <si>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</si>
  <si>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</si>
  <si>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</si>
  <si>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</si>
  <si>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</si>
  <si>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</si>
  <si>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</si>
  <si>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</si>
  <si>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</si>
  <si>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</si>
  <si>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</si>
  <si>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</si>
  <si>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</si>
  <si>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</si>
  <si>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</si>
  <si>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</si>
  <si>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</si>
  <si>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</si>
  <si>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</si>
  <si>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</si>
  <si>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</si>
  <si>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</si>
  <si>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</si>
  <si>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</si>
  <si>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</si>
  <si>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</si>
  <si>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</si>
  <si>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</si>
  <si>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</si>
  <si>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</si>
  <si>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</si>
  <si>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</si>
  <si>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</si>
  <si>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</si>
  <si>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</si>
  <si>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</si>
  <si>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</si>
  <si>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</si>
  <si>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</si>
  <si>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</si>
  <si>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</si>
  <si>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</si>
  <si>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</si>
  <si>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</si>
  <si>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</si>
  <si>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</si>
  <si>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</si>
  <si>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</si>
  <si>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</si>
  <si>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</si>
  <si>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</si>
  <si>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</si>
  <si>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</si>
  <si>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</si>
  <si>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</si>
  <si>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</si>
  <si>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</si>
  <si>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</si>
  <si>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</si>
  <si>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</si>
  <si>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</si>
  <si>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</si>
  <si>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</si>
  <si>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</si>
  <si>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</si>
  <si>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</si>
  <si>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</si>
  <si>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</si>
  <si>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</si>
  <si>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</si>
  <si>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</si>
  <si>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</si>
  <si>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</si>
  <si>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</si>
  <si>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</si>
  <si>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</si>
  <si>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</si>
  <si>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</si>
  <si>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</si>
  <si>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</si>
  <si>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</si>
  <si>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</si>
  <si>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</si>
  <si>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</si>
  <si>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</si>
  <si>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</si>
  <si>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</si>
  <si>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</si>
  <si>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</si>
  <si>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</si>
  <si>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</si>
  <si>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</si>
  <si>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</si>
  <si>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</si>
  <si>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</si>
  <si>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</si>
  <si>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</si>
  <si>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</si>
  <si>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</si>
  <si>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</si>
  <si>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</si>
  <si>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</si>
  <si>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</si>
  <si>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</si>
  <si>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</si>
  <si>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</si>
  <si>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</si>
  <si>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</si>
  <si>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</si>
  <si>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</si>
  <si>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</si>
  <si>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</si>
  <si>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</si>
  <si>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</si>
  <si>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</si>
  <si>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</si>
  <si>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</si>
  <si>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</si>
  <si>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</si>
  <si>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</si>
  <si>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</si>
  <si>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</si>
  <si>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</si>
  <si>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</si>
  <si>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</si>
  <si>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</si>
  <si>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</si>
  <si>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</si>
  <si>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</si>
  <si>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</si>
  <si>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</si>
  <si>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</si>
  <si>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</si>
  <si>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</si>
  <si>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</si>
  <si>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</si>
  <si>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</si>
  <si>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</si>
  <si>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</si>
  <si>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</si>
  <si>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</si>
  <si>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</si>
  <si>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</si>
  <si>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</si>
  <si>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</si>
  <si>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</si>
  <si>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</si>
  <si>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</si>
  <si>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</si>
  <si>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</si>
  <si>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</si>
  <si>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</si>
  <si>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</si>
  <si>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</si>
  <si>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</si>
  <si>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</si>
  <si>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</si>
  <si>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</si>
  <si>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</si>
  <si>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</si>
  <si>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</si>
  <si>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</si>
  <si>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</si>
  <si>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</si>
  <si>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</si>
  <si>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</si>
  <si>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</si>
  <si>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</si>
  <si>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</si>
  <si>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</si>
  <si>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</si>
  <si>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</si>
  <si>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</si>
  <si>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</si>
  <si>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</si>
  <si>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</si>
  <si>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</si>
  <si>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</si>
  <si>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</si>
  <si>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</si>
  <si>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</si>
  <si>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</si>
  <si>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</si>
  <si>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</si>
  <si>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</si>
  <si>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</si>
  <si>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</si>
  <si>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</si>
  <si>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</si>
  <si>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</si>
  <si>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</si>
  <si>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</si>
  <si>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</si>
  <si>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</si>
  <si>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</si>
  <si>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</si>
  <si>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</si>
  <si>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</si>
  <si>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</si>
  <si>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</si>
  <si>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</si>
  <si>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</si>
  <si>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</si>
  <si>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</si>
  <si>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</si>
  <si>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</si>
  <si>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</si>
  <si>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</si>
  <si>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</si>
  <si>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</si>
  <si>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</si>
  <si>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</si>
  <si>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</si>
  <si>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</si>
  <si>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</si>
  <si>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</si>
  <si>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</si>
  <si>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</si>
  <si>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</si>
  <si>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</si>
  <si>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</si>
  <si>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</si>
  <si>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</si>
  <si>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</si>
  <si>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</si>
  <si>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</si>
  <si>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</si>
  <si>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</si>
  <si>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</si>
  <si>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</si>
  <si>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</si>
  <si>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</si>
  <si>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</si>
  <si>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</si>
  <si>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</si>
  <si>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</si>
  <si>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</si>
  <si>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</si>
  <si>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</si>
  <si>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</si>
  <si>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</si>
  <si>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</si>
  <si>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</si>
  <si>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</si>
  <si>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</si>
  <si>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</si>
  <si>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</si>
  <si>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</si>
  <si>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</si>
  <si>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</si>
  <si>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</si>
  <si>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</si>
  <si>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</si>
  <si>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</si>
  <si>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</si>
  <si>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</si>
  <si>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</si>
  <si>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</si>
  <si>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</si>
  <si>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</si>
  <si>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</si>
  <si>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</si>
  <si>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</si>
  <si>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</si>
  <si>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</si>
  <si>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</si>
  <si>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</si>
  <si>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</si>
  <si>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</si>
  <si>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</si>
  <si>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</si>
  <si>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</si>
  <si>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</si>
  <si>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</si>
  <si>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</si>
  <si>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</si>
  <si>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</si>
  <si>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</si>
  <si>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</si>
  <si>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</si>
  <si>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</si>
  <si>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</si>
  <si>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</si>
  <si>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</si>
  <si>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</si>
  <si>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</si>
  <si>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</si>
  <si>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</si>
  <si>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</si>
  <si>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</si>
  <si>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</si>
  <si>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</si>
  <si>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</si>
  <si>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</si>
  <si>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</si>
  <si>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</si>
  <si>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</si>
  <si>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</si>
  <si>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</si>
  <si>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</si>
  <si>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</si>
  <si>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</si>
  <si>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</si>
  <si>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</si>
  <si>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</si>
  <si>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</si>
  <si>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</si>
  <si>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</si>
  <si>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</si>
  <si>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</si>
  <si>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</si>
  <si>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</si>
  <si>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</si>
  <si>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</si>
  <si>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</si>
  <si>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</si>
  <si>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</si>
  <si>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</si>
  <si>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</si>
  <si>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</si>
  <si>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</si>
  <si>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</si>
  <si>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</si>
  <si>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</si>
  <si>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</si>
  <si>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</si>
  <si>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</si>
  <si>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</si>
  <si>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</si>
  <si>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</si>
  <si>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</si>
  <si>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</si>
  <si>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</si>
  <si>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</si>
  <si>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</si>
  <si>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</si>
  <si>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</si>
  <si>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</si>
  <si>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</si>
  <si>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</si>
  <si>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</si>
  <si>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</si>
  <si>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</si>
  <si>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</si>
  <si>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</si>
  <si>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</si>
  <si>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</si>
  <si>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</si>
  <si>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</si>
  <si>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</si>
  <si>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</si>
  <si>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</si>
  <si>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</si>
  <si>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</si>
  <si>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</si>
  <si>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</si>
  <si>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</si>
  <si>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</si>
  <si>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</si>
  <si>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</si>
  <si>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</si>
  <si>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</si>
  <si>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</si>
  <si>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</si>
  <si>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</si>
  <si>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</si>
  <si>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</si>
  <si>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</si>
  <si>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</si>
  <si>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</si>
  <si>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</si>
  <si>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</si>
  <si>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</si>
  <si>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</si>
  <si>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</si>
  <si>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</si>
  <si>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</si>
  <si>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</si>
  <si>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</si>
  <si>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</si>
  <si>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</si>
  <si>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</si>
  <si>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</si>
  <si>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</si>
  <si>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</si>
  <si>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</si>
  <si>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</si>
  <si>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</si>
  <si>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</si>
  <si>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</si>
  <si>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</si>
  <si>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</si>
  <si>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</si>
  <si>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</si>
  <si>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</si>
  <si>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</si>
  <si>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</si>
  <si>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</si>
  <si>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</si>
  <si>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</si>
  <si>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</si>
  <si>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</si>
  <si>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</si>
  <si>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</si>
  <si>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</si>
  <si>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</si>
  <si>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</si>
  <si>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</si>
  <si>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</si>
  <si>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</si>
  <si>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</si>
  <si>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</si>
  <si>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</si>
  <si>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</si>
  <si>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</si>
  <si>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</si>
  <si>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</si>
  <si>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</si>
  <si>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</si>
  <si>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</si>
  <si>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</si>
  <si>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</si>
  <si>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</si>
  <si>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</si>
  <si>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</si>
  <si>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</si>
  <si>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</si>
  <si>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</si>
  <si>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</si>
  <si>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</si>
  <si>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</si>
  <si>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</si>
  <si>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</si>
  <si>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</si>
  <si>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</si>
  <si>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</si>
  <si>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</si>
  <si>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</si>
  <si>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</si>
  <si>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</si>
  <si>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</si>
  <si>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</si>
  <si>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</si>
  <si>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</si>
  <si>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</si>
  <si>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</si>
  <si>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</si>
  <si>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</si>
  <si>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</si>
  <si>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</si>
  <si>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</si>
  <si>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</si>
  <si>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</si>
  <si>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</si>
  <si>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</si>
  <si>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</si>
  <si>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</si>
  <si>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</si>
  <si>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</si>
  <si>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</si>
  <si>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</si>
  <si>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</si>
  <si>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</si>
  <si>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</si>
  <si>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</si>
  <si>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</si>
  <si>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</si>
  <si>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</si>
  <si>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</si>
  <si>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</si>
  <si>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</si>
  <si>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</si>
  <si>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</si>
  <si>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</si>
  <si>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</si>
  <si>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</si>
  <si>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</si>
  <si>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</si>
  <si>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</si>
  <si>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</si>
  <si>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</si>
  <si>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</si>
  <si>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</si>
  <si>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</si>
  <si>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</si>
  <si>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</si>
  <si>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</si>
  <si>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</si>
  <si>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</si>
  <si>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</si>
  <si>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</si>
  <si>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</si>
  <si>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</si>
  <si>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</si>
  <si>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</si>
  <si>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</si>
  <si>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</si>
  <si>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</si>
  <si>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</si>
  <si>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</si>
  <si>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</si>
  <si>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</si>
  <si>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</si>
  <si>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</si>
  <si>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</si>
  <si>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</si>
  <si>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</si>
  <si>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</si>
  <si>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</si>
  <si>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</si>
  <si>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</si>
  <si>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</si>
  <si>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</si>
  <si>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</si>
  <si>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</si>
  <si>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</si>
  <si>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</si>
  <si>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</si>
  <si>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</si>
  <si>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</si>
  <si>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</si>
  <si>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</si>
  <si>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</si>
  <si>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</si>
  <si>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</si>
  <si>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</si>
  <si>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</si>
  <si>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</si>
  <si>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</si>
  <si>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</si>
  <si>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</si>
  <si>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</si>
  <si>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</si>
  <si>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</si>
  <si>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</si>
  <si>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</si>
  <si>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</si>
  <si>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</si>
  <si>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</si>
  <si>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</si>
  <si>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</si>
  <si>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</si>
  <si>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</si>
  <si>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</si>
  <si>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</si>
  <si>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</si>
  <si>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</si>
  <si>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</si>
  <si>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</si>
  <si>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</si>
  <si>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</si>
  <si>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</si>
  <si>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</si>
  <si>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</si>
  <si>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</si>
  <si>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</si>
  <si>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</si>
  <si>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</si>
  <si>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</si>
  <si>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</si>
  <si>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</si>
  <si>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</si>
  <si>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</si>
  <si>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</si>
  <si>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</si>
  <si>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</si>
  <si>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</si>
  <si>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</si>
  <si>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</si>
  <si>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</si>
  <si>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</si>
  <si>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</si>
  <si>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</si>
  <si>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</si>
  <si>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</si>
  <si>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</si>
  <si>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</si>
  <si>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</si>
  <si>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</si>
  <si>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</si>
  <si>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</si>
  <si>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</si>
  <si>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</si>
  <si>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</si>
  <si>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</si>
  <si>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</si>
  <si>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</si>
  <si>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</si>
  <si>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</si>
  <si>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</si>
  <si>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</si>
  <si>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</si>
  <si>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</si>
  <si>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</si>
  <si>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</si>
  <si>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</si>
  <si>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</si>
  <si>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</si>
  <si>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</si>
  <si>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</si>
  <si>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</si>
  <si>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</si>
  <si>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</si>
  <si>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</si>
  <si>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</si>
  <si>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</si>
  <si>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</si>
  <si>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</si>
  <si>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</si>
  <si>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</si>
  <si>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</si>
  <si>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</si>
  <si>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</si>
  <si>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</si>
  <si>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</si>
  <si>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</si>
  <si>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</si>
  <si>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</si>
  <si>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</si>
  <si>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</si>
  <si>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</si>
  <si>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</si>
  <si>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</si>
  <si>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</si>
  <si>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</si>
  <si>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</si>
  <si>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</si>
  <si>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</si>
  <si>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</si>
  <si>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</si>
  <si>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</si>
  <si>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</si>
  <si>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</si>
  <si>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</si>
  <si>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</si>
  <si>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</si>
  <si>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</si>
  <si>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</si>
  <si>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</si>
  <si>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</si>
  <si>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</si>
  <si>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</si>
  <si>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</si>
  <si>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</si>
  <si>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</si>
  <si>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</si>
  <si>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</si>
  <si>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</si>
  <si>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</si>
  <si>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</si>
  <si>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</si>
  <si>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</si>
  <si>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</si>
  <si>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</si>
  <si>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</si>
  <si>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</si>
  <si>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</si>
  <si>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</si>
  <si>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</si>
  <si>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</si>
  <si>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</si>
  <si>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</si>
  <si>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</si>
  <si>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</si>
  <si>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</si>
  <si>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</si>
  <si>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</si>
  <si>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</si>
  <si>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</si>
  <si>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</si>
  <si>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</si>
  <si>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</si>
  <si>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</si>
  <si>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</si>
  <si>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</si>
  <si>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</si>
  <si>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</si>
  <si>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</si>
  <si>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</si>
  <si>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</si>
  <si>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</si>
  <si>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</si>
  <si>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</si>
  <si>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</si>
  <si>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</si>
  <si>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</si>
  <si>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</si>
  <si>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</si>
  <si>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</si>
  <si>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</si>
  <si>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</si>
  <si>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</si>
  <si>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</si>
  <si>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</si>
  <si>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</si>
  <si>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</si>
  <si>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</si>
  <si>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</si>
  <si>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</si>
  <si>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</si>
  <si>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</si>
  <si>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</si>
  <si>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</si>
  <si>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</si>
  <si>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</si>
  <si>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</si>
  <si>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</si>
  <si>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</si>
  <si>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</si>
  <si>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</si>
  <si>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</si>
  <si>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</si>
  <si>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</si>
  <si>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</si>
  <si>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</si>
  <si>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</si>
  <si>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</si>
  <si>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</si>
  <si>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</si>
  <si>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</si>
  <si>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</si>
  <si>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</si>
  <si>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</si>
  <si>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</si>
  <si>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</si>
  <si>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</si>
  <si>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</si>
  <si>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</si>
  <si>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</si>
  <si>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</si>
  <si>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</si>
  <si>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</si>
  <si>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</si>
  <si>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</si>
  <si>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</si>
  <si>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</si>
  <si>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</si>
  <si>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</si>
  <si>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</si>
  <si>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</si>
  <si>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</si>
  <si>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</si>
  <si>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</si>
  <si>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</si>
  <si>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</si>
  <si>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</si>
  <si>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</si>
  <si>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</si>
  <si>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</si>
  <si>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</si>
  <si>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</si>
  <si>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</si>
  <si>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</si>
  <si>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</si>
  <si>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</si>
  <si>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</si>
  <si>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</si>
  <si>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</si>
  <si>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</si>
  <si>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</si>
  <si>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</si>
  <si>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</si>
  <si>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</si>
  <si>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</si>
  <si>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</si>
  <si>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</si>
  <si>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</si>
  <si>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</si>
  <si>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</si>
  <si>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</si>
  <si>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</si>
  <si>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</si>
  <si>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</si>
  <si>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</si>
  <si>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</si>
  <si>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</si>
  <si>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</si>
  <si>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</si>
  <si>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</si>
  <si>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</si>
  <si>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</si>
  <si>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</si>
  <si>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</si>
  <si>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</si>
  <si>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</si>
  <si>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</si>
  <si>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</si>
  <si>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</si>
  <si>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</si>
  <si>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</si>
  <si>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</si>
  <si>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</si>
  <si>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</si>
  <si>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</si>
  <si>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</si>
  <si>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</si>
  <si>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</si>
  <si>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</si>
  <si>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</si>
  <si>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</si>
  <si>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</si>
  <si>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</si>
  <si>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</si>
  <si>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</si>
  <si>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</si>
  <si>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</si>
  <si>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</si>
  <si>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</si>
  <si>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</si>
  <si>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</si>
  <si>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</si>
  <si>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</si>
  <si>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</si>
  <si>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</si>
  <si>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</si>
  <si>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</si>
  <si>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</si>
  <si>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</si>
  <si>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</si>
  <si>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</si>
  <si>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</si>
  <si>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</si>
  <si>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</si>
  <si>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</si>
  <si>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</si>
  <si>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</si>
  <si>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</si>
  <si>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</si>
  <si>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</si>
  <si>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</si>
  <si>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</si>
  <si>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</si>
  <si>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</si>
  <si>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</si>
  <si>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</si>
  <si>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</si>
  <si>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</si>
  <si>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</si>
  <si>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</si>
  <si>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</si>
  <si>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</si>
  <si>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</si>
  <si>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</si>
  <si>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</si>
  <si>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</si>
  <si>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</si>
  <si>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</si>
  <si>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</si>
  <si>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</si>
  <si>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</si>
  <si>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</si>
  <si>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</si>
  <si>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</si>
  <si>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</si>
  <si>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</si>
  <si>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</si>
  <si>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</si>
  <si>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</si>
  <si>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</si>
  <si>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</si>
  <si>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</si>
  <si>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</si>
  <si>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</si>
  <si>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</si>
  <si>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</si>
  <si>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</si>
  <si>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</si>
  <si>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</si>
  <si>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</si>
  <si>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</si>
  <si>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</si>
  <si>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</si>
  <si>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</si>
  <si>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</si>
  <si>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</si>
  <si>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</si>
  <si>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</si>
  <si>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</si>
  <si>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</si>
  <si>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</si>
  <si>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</si>
  <si>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</si>
  <si>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</si>
  <si>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</si>
  <si>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</si>
  <si>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</si>
  <si>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</si>
  <si>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</si>
  <si>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</si>
  <si>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</si>
  <si>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</si>
  <si>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</si>
  <si>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</si>
  <si>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</si>
  <si>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</si>
  <si>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</si>
  <si>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</si>
  <si>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</si>
  <si>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</si>
  <si>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</si>
  <si>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</si>
  <si>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</si>
  <si>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</si>
  <si>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</si>
  <si>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</si>
  <si>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</si>
  <si>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</si>
  <si>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</si>
  <si>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</si>
  <si>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</si>
  <si>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</si>
  <si>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</si>
  <si>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</si>
  <si>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</si>
  <si>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</si>
  <si>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</si>
  <si>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</si>
  <si>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</si>
  <si>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</si>
  <si>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</si>
  <si>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</si>
  <si>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</si>
  <si>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</si>
  <si>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</si>
  <si>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</si>
  <si>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</si>
  <si>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</si>
  <si>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</si>
  <si>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</si>
  <si>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</si>
  <si>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</si>
  <si>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</si>
  <si>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</si>
  <si>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</si>
  <si>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</si>
  <si>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</si>
  <si>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</si>
  <si>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</si>
  <si>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</si>
  <si>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</si>
  <si>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</si>
  <si>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</si>
  <si>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</si>
  <si>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</si>
  <si>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</si>
  <si>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</si>
  <si>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</si>
  <si>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</si>
  <si>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</si>
  <si>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</si>
  <si>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</si>
  <si>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</si>
  <si>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</si>
  <si>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</si>
  <si>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</si>
  <si>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</si>
  <si>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</si>
  <si>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</si>
  <si>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</si>
  <si>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</si>
  <si>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</si>
  <si>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</si>
  <si>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</si>
  <si>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</si>
  <si>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</si>
  <si>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</si>
  <si>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</si>
  <si>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</si>
  <si>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</si>
  <si>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</si>
  <si>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</si>
  <si>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</si>
  <si>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</si>
  <si>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</si>
  <si>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</si>
  <si>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</si>
  <si>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</si>
  <si>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</si>
  <si>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</si>
  <si>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</si>
  <si>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</si>
  <si>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</si>
  <si>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</si>
  <si>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</si>
  <si>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</si>
  <si>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</si>
  <si>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</si>
  <si>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</si>
  <si>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</si>
  <si>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</si>
  <si>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</si>
  <si>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</si>
  <si>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</si>
  <si>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</si>
  <si>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</si>
  <si>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</si>
  <si>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</si>
  <si>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</si>
  <si>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</si>
  <si>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</si>
  <si>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</si>
  <si>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</si>
  <si>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</si>
  <si>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</si>
  <si>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</si>
  <si>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</si>
  <si>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</si>
  <si>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</si>
  <si>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</si>
  <si>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</si>
  <si>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</si>
  <si>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</si>
  <si>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</si>
  <si>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</si>
  <si>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</si>
  <si>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</si>
  <si>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</si>
  <si>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</si>
  <si>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</si>
  <si>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</si>
  <si>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</si>
  <si>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</si>
  <si>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</si>
  <si>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</si>
  <si>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</si>
  <si>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</si>
  <si>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</si>
  <si>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</si>
  <si>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</si>
  <si>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</si>
  <si>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</si>
  <si>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</si>
  <si>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</si>
  <si>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</si>
  <si>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</si>
  <si>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</si>
  <si>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</si>
  <si>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</si>
  <si>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</si>
  <si>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</si>
  <si>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</si>
  <si>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</si>
  <si>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</si>
  <si>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</si>
  <si>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</si>
  <si>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</si>
  <si>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</si>
  <si>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</si>
  <si>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</si>
  <si>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</si>
  <si>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</si>
  <si>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</si>
  <si>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</si>
  <si>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</si>
  <si>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</si>
  <si>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</si>
  <si>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</si>
  <si>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</si>
  <si>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</si>
  <si>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</si>
  <si>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</si>
  <si>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</si>
  <si>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</si>
  <si>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</si>
  <si>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</si>
  <si>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</si>
  <si>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</si>
  <si>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</si>
  <si>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</si>
  <si>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</si>
  <si>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</si>
  <si>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</si>
  <si>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</si>
  <si>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</si>
  <si>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</si>
  <si>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</si>
  <si>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</si>
  <si>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</si>
  <si>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</si>
  <si>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</si>
  <si>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</si>
  <si>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</si>
  <si>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</si>
  <si>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</si>
  <si>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</si>
  <si>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</si>
  <si>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</si>
  <si>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</si>
  <si>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</si>
  <si>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</si>
  <si>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</si>
  <si>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</si>
  <si>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</si>
  <si>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</si>
  <si>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</si>
  <si>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</si>
  <si>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</si>
  <si>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</si>
  <si>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</si>
  <si>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</si>
  <si>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</si>
  <si>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</si>
  <si>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</si>
  <si>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</si>
  <si>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</si>
  <si>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</si>
  <si>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</si>
  <si>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</si>
  <si>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</si>
  <si>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</si>
  <si>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</si>
  <si>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</si>
  <si>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</si>
  <si>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</si>
  <si>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</si>
  <si>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</si>
  <si>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</si>
  <si>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</si>
  <si>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</si>
  <si>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</si>
  <si>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</si>
  <si>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</si>
  <si>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</si>
  <si>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</si>
  <si>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</si>
  <si>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</si>
  <si>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</si>
  <si>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</si>
  <si>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</si>
  <si>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</si>
  <si>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</si>
  <si>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</si>
  <si>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</si>
  <si>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</si>
  <si>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</si>
  <si>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</si>
  <si>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</si>
  <si>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</si>
  <si>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</si>
  <si>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</si>
  <si>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</si>
  <si>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</si>
  <si>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</si>
  <si>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</si>
  <si>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</si>
  <si>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</si>
  <si>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</si>
  <si>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</si>
  <si>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</si>
  <si>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</si>
  <si>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</si>
  <si>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</si>
  <si>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</si>
  <si>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</si>
  <si>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</si>
  <si>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</si>
  <si>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</si>
  <si>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</si>
  <si>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</si>
  <si>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</si>
  <si>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</si>
  <si>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</si>
  <si>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</si>
  <si>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</si>
  <si>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</si>
  <si>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</si>
  <si>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</si>
  <si>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</si>
  <si>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</si>
  <si>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</si>
  <si>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</si>
  <si>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</si>
  <si>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</si>
  <si>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</si>
  <si>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</si>
  <si>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</si>
  <si>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</si>
  <si>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</si>
  <si>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</si>
  <si>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</si>
  <si>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</si>
  <si>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</si>
  <si>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</si>
  <si>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</si>
  <si>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</si>
  <si>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</si>
  <si>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</si>
  <si>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</si>
  <si>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</si>
  <si>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</si>
  <si>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</si>
  <si>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</si>
  <si>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</si>
  <si>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</si>
  <si>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</si>
  <si>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</si>
  <si>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</si>
  <si>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</si>
  <si>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</si>
  <si>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</si>
  <si>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</si>
  <si>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</si>
  <si>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</si>
  <si>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</si>
  <si>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</si>
  <si>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</si>
  <si>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</si>
  <si>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</si>
  <si>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</si>
  <si>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</si>
  <si>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</si>
  <si>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</si>
  <si>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</si>
  <si>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</si>
  <si>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</si>
  <si>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</si>
  <si>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</si>
  <si>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</si>
  <si>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</si>
  <si>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</si>
  <si>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</si>
  <si>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</si>
  <si>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</si>
  <si>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</si>
  <si>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</si>
  <si>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</si>
  <si>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</si>
  <si>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</si>
  <si>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</si>
  <si>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</si>
  <si>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</si>
  <si>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</si>
  <si>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</si>
  <si>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</si>
  <si>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</si>
  <si>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</si>
  <si>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</si>
  <si>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</si>
  <si>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</si>
  <si>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</si>
  <si>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</si>
  <si>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</si>
  <si>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</si>
  <si>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</si>
  <si>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</si>
  <si>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</si>
  <si>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</si>
  <si>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</si>
  <si>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</si>
  <si>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</si>
  <si>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</si>
  <si>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</si>
  <si>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</si>
  <si>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</si>
  <si>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</si>
  <si>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</si>
  <si>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</si>
  <si>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</si>
  <si>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</si>
  <si>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</si>
  <si>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</si>
  <si>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</si>
  <si>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</si>
  <si>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</si>
  <si>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</si>
  <si>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</si>
  <si>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</si>
  <si>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</si>
  <si>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</si>
  <si>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</si>
  <si>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</si>
  <si>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</si>
  <si>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</si>
  <si>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</si>
  <si>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</si>
  <si>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</si>
  <si>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</si>
  <si>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</si>
  <si>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</si>
  <si>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</si>
  <si>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</si>
  <si>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</si>
  <si>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</si>
  <si>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</si>
  <si>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</si>
  <si>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</si>
  <si>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</si>
  <si>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</si>
  <si>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</si>
  <si>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</si>
  <si>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</si>
  <si>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</si>
  <si>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</si>
  <si>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</si>
  <si>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</si>
  <si>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</si>
  <si>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</si>
  <si>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</si>
  <si>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</si>
  <si>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</si>
  <si>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</si>
  <si>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</si>
  <si>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</si>
  <si>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</si>
  <si>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</si>
  <si>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</si>
  <si>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</si>
  <si>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</si>
  <si>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</si>
  <si>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</si>
  <si>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</si>
  <si>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</si>
  <si>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</si>
  <si>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</si>
  <si>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</si>
  <si>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</si>
  <si>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</si>
  <si>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</si>
  <si>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</si>
  <si>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</si>
  <si>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</si>
  <si>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</si>
  <si>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</si>
  <si>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</si>
  <si>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</si>
  <si>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</si>
  <si>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</si>
  <si>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</si>
  <si>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</si>
  <si>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</si>
  <si>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</si>
  <si>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</si>
  <si>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</si>
  <si>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</si>
  <si>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</si>
  <si>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</si>
  <si>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</si>
  <si>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</si>
  <si>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</si>
  <si>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</si>
  <si>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</si>
  <si>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</si>
  <si>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</si>
  <si>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</si>
  <si>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</si>
  <si>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</si>
  <si>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</si>
  <si>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</si>
  <si>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</si>
  <si>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</si>
  <si>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</si>
  <si>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</si>
  <si>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</si>
  <si>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</si>
  <si>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</si>
  <si>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</si>
  <si>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</si>
  <si>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</si>
  <si>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</si>
  <si>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</si>
  <si>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</si>
  <si>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</si>
  <si>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</si>
  <si>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</si>
  <si>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</si>
  <si>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</si>
  <si>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</si>
  <si>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</si>
  <si>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</si>
  <si>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</si>
  <si>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</si>
  <si>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</si>
  <si>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</si>
  <si>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</si>
  <si>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</si>
  <si>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</si>
  <si>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</si>
  <si>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</si>
  <si>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</si>
  <si>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</si>
  <si>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</si>
  <si>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</si>
  <si>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</si>
  <si>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</si>
  <si>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</si>
  <si>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</si>
  <si>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</si>
  <si>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</si>
  <si>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</si>
  <si>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</si>
  <si>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</si>
  <si>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</si>
  <si>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</si>
  <si>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</si>
  <si>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</si>
  <si>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</si>
  <si>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</si>
  <si>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</si>
  <si>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</si>
  <si>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</si>
  <si>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</si>
  <si>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</si>
  <si>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</si>
  <si>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</si>
  <si>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</si>
  <si>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</si>
  <si>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</si>
  <si>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</si>
  <si>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</si>
  <si>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</si>
  <si>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</si>
  <si>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</si>
  <si>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</si>
  <si>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</si>
  <si>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</si>
  <si>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</si>
  <si>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</si>
  <si>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</si>
  <si>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</si>
  <si>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</si>
  <si>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</si>
  <si>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</si>
  <si>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</si>
  <si>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</si>
  <si>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</si>
  <si>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</si>
  <si>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</si>
  <si>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</si>
  <si>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</si>
  <si>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</si>
  <si>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</si>
  <si>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</si>
  <si>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</si>
  <si>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</si>
  <si>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</si>
  <si>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</si>
  <si>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</si>
  <si>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</si>
  <si>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</si>
  <si>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</si>
  <si>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</si>
  <si>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</si>
  <si>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</si>
  <si>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</si>
  <si>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</si>
  <si>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</si>
  <si>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</si>
  <si>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</si>
  <si>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</si>
  <si>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</si>
  <si>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</si>
  <si>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</si>
  <si>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</si>
  <si>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</si>
  <si>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</si>
  <si>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</si>
  <si>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</si>
  <si>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</si>
  <si>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</si>
  <si>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</si>
  <si>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</si>
  <si>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</si>
  <si>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</si>
  <si>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</si>
  <si>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</si>
  <si>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</si>
  <si>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</si>
  <si>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</si>
  <si>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</si>
  <si>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</si>
  <si>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</si>
  <si>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</si>
  <si>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</si>
  <si>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</si>
  <si>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</si>
  <si>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</si>
  <si>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</si>
  <si>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</si>
  <si>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</si>
  <si>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</si>
  <si>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</si>
  <si>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</si>
  <si>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</si>
  <si>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</si>
  <si>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</si>
  <si>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</si>
  <si>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</si>
  <si>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</si>
  <si>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</si>
  <si>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</si>
  <si>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</si>
  <si>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</si>
  <si>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</si>
  <si>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</si>
  <si>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</si>
  <si>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</si>
  <si>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</si>
  <si>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</si>
  <si>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</si>
  <si>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</si>
  <si>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</si>
  <si>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</si>
  <si>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</si>
  <si>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</si>
  <si>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</si>
  <si>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</si>
  <si>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</si>
  <si>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</si>
  <si>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</si>
  <si>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</si>
  <si>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</si>
  <si>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</si>
  <si>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</si>
  <si>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</si>
  <si>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</si>
  <si>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</si>
  <si>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</si>
  <si>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</si>
  <si>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</si>
  <si>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</si>
  <si>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</si>
  <si>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</si>
  <si>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</si>
  <si>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</si>
  <si>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</si>
  <si>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</si>
  <si>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</si>
  <si>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</si>
  <si>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</si>
  <si>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</si>
  <si>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</si>
  <si>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</si>
  <si>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</si>
  <si>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</si>
  <si>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</si>
  <si>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</si>
  <si>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</si>
  <si>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</si>
  <si>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</si>
  <si>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</si>
  <si>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</si>
  <si>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</si>
  <si>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</si>
  <si>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</si>
  <si>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</si>
  <si>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</si>
  <si>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</si>
  <si>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</si>
  <si>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</si>
  <si>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</si>
  <si>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</si>
  <si>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</si>
  <si>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</si>
  <si>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</si>
  <si>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</si>
  <si>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</si>
  <si>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</si>
  <si>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</si>
  <si>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</si>
  <si>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</si>
  <si>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</si>
  <si>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</si>
  <si>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</si>
  <si>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</si>
  <si>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</si>
  <si>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</si>
  <si>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</si>
  <si>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</si>
  <si>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</si>
  <si>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</si>
  <si>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</si>
  <si>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</si>
  <si>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</si>
  <si>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</si>
  <si>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</si>
  <si>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</si>
  <si>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</si>
  <si>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</si>
  <si>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</si>
  <si>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</si>
  <si>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</si>
  <si>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</si>
  <si>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</si>
  <si>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</si>
  <si>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</si>
  <si>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</si>
  <si>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</si>
  <si>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</si>
  <si>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</si>
  <si>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</si>
  <si>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</si>
  <si>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</si>
  <si>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</si>
  <si>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</si>
  <si>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</si>
  <si>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</si>
  <si>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</si>
  <si>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</si>
  <si>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</si>
  <si>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</si>
  <si>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</si>
  <si>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</si>
  <si>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</si>
  <si>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</si>
  <si>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</si>
  <si>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</si>
  <si>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</si>
  <si>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</si>
  <si>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</si>
  <si>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</si>
  <si>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</si>
  <si>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</si>
  <si>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</si>
  <si>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</si>
  <si>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</si>
  <si>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</si>
  <si>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</si>
  <si>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</si>
  <si>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</si>
  <si>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</si>
  <si>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</si>
  <si>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</si>
  <si>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</si>
  <si>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</si>
  <si>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</si>
  <si>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</si>
  <si>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</si>
  <si>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</si>
  <si>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</si>
  <si>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</si>
  <si>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</si>
  <si>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</si>
  <si>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</si>
  <si>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</si>
  <si>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</si>
  <si>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</si>
  <si>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</si>
  <si>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</si>
  <si>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</si>
  <si>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</si>
  <si>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</si>
  <si>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</si>
  <si>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</si>
  <si>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</si>
  <si>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</si>
  <si>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</si>
  <si>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</si>
  <si>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</si>
  <si>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</si>
  <si>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</si>
  <si>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</si>
  <si>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</si>
  <si>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</si>
  <si>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</si>
  <si>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</si>
  <si>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</si>
  <si>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</si>
  <si>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</si>
  <si>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</si>
  <si>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</si>
  <si>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</si>
  <si>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</si>
  <si>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</si>
  <si>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</si>
  <si>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</si>
  <si>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</si>
  <si>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</si>
  <si>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</si>
  <si>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</si>
  <si>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</si>
  <si>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</si>
  <si>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</si>
  <si>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</si>
  <si>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</si>
  <si>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</si>
  <si>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</si>
  <si>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</si>
  <si>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</si>
  <si>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</si>
  <si>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</si>
  <si>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</si>
  <si>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</si>
  <si>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</si>
  <si>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</si>
  <si>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</si>
  <si>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</si>
  <si>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</si>
  <si>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</si>
  <si>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</si>
  <si>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</si>
  <si>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</si>
  <si>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</si>
  <si>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</si>
  <si>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</si>
  <si>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</si>
  <si>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</si>
  <si>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</si>
  <si>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</si>
  <si>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</si>
  <si>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</si>
  <si>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</si>
  <si>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</si>
  <si>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</si>
  <si>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</si>
  <si>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</si>
  <si>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</si>
  <si>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</si>
  <si>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</si>
  <si>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</si>
  <si>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</si>
  <si>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</si>
  <si>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</si>
  <si>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</si>
  <si>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</si>
  <si>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</si>
  <si>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</si>
  <si>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</si>
  <si>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</si>
  <si>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</si>
  <si>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</si>
  <si>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</si>
  <si>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</si>
  <si>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</si>
  <si>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</si>
  <si>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</si>
  <si>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</si>
  <si>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</si>
  <si>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</si>
  <si>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</si>
  <si>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</si>
  <si>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</si>
  <si>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</si>
  <si>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</si>
  <si>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</si>
  <si>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</si>
  <si>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</si>
  <si>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</si>
  <si>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</si>
  <si>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</si>
  <si>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</si>
  <si>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</si>
  <si>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</si>
  <si>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</si>
  <si>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</si>
  <si>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</si>
  <si>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</si>
  <si>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</si>
  <si>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</si>
  <si>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</si>
  <si>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</si>
  <si>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</si>
  <si>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</si>
  <si>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</si>
  <si>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</si>
  <si>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</si>
  <si>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</si>
  <si>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</si>
  <si>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</si>
  <si>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</si>
  <si>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</si>
  <si>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</si>
  <si>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</si>
  <si>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</si>
  <si>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</si>
  <si>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</si>
  <si>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</si>
  <si>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</si>
  <si>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</si>
  <si>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</si>
  <si>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</si>
  <si>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</si>
  <si>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</si>
  <si>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</si>
  <si>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</si>
  <si>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</si>
  <si>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</si>
  <si>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</si>
  <si>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</si>
  <si>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</si>
  <si>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</si>
  <si>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</si>
  <si>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</si>
  <si>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</si>
  <si>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</si>
  <si>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</si>
  <si>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</si>
  <si>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</si>
  <si>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</si>
  <si>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</si>
  <si>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</si>
  <si>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</si>
  <si>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</si>
  <si>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</si>
  <si>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</si>
  <si>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</si>
  <si>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</si>
  <si>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</si>
  <si>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</si>
  <si>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</si>
  <si>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</si>
  <si>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</si>
  <si>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</si>
  <si>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</si>
  <si>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</si>
  <si>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</si>
  <si>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</si>
  <si>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</si>
  <si>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</si>
  <si>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</si>
  <si>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</si>
  <si>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</si>
  <si>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</si>
  <si>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</si>
  <si>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</si>
  <si>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</si>
  <si>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</si>
  <si>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</si>
  <si>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</si>
  <si>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</si>
  <si>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</si>
  <si>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</si>
  <si>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</si>
  <si>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</si>
  <si>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</si>
  <si>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</si>
  <si>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</si>
  <si>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</si>
  <si>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</si>
  <si>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</si>
  <si>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</si>
  <si>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</si>
  <si>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</si>
  <si>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</si>
  <si>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</si>
  <si>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</si>
  <si>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</si>
  <si>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</si>
  <si>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</si>
  <si>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</si>
  <si>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</si>
  <si>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</si>
  <si>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</si>
  <si>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</si>
  <si>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</si>
  <si>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</si>
  <si>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</si>
  <si>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</si>
  <si>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</si>
  <si>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</si>
  <si>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</si>
  <si>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</si>
  <si>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</si>
  <si>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</si>
  <si>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</si>
  <si>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</si>
  <si>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</si>
  <si>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</si>
  <si>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</si>
  <si>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</si>
  <si>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</si>
  <si>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</si>
  <si>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</si>
  <si>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</si>
  <si>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</si>
  <si>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</si>
  <si>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</si>
  <si>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</si>
  <si>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</si>
  <si>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</si>
  <si>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</si>
  <si>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</si>
  <si>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</si>
  <si>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</si>
  <si>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</si>
  <si>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</si>
  <si>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</si>
  <si>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</si>
  <si>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</si>
  <si>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</si>
  <si>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</si>
  <si>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</si>
  <si>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</si>
  <si>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</si>
  <si>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</si>
  <si>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</si>
  <si>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</si>
  <si>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</si>
  <si>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</si>
  <si>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</si>
  <si>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</si>
  <si>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</si>
  <si>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</si>
  <si>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</si>
  <si>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</si>
  <si>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</si>
  <si>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</si>
  <si>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</si>
  <si>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</si>
  <si>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</si>
  <si>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</si>
  <si>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</si>
  <si>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</si>
  <si>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</si>
  <si>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</si>
  <si>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</si>
  <si>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</si>
  <si>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</si>
  <si>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</si>
  <si>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</si>
  <si>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</si>
  <si>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</si>
  <si>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</si>
  <si>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</si>
  <si>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</si>
  <si>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</si>
  <si>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</si>
  <si>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</si>
  <si>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</si>
  <si>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</si>
  <si>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</si>
  <si>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</si>
  <si>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</si>
  <si>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</si>
  <si>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</si>
  <si>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</si>
  <si>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</si>
  <si>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</si>
  <si>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</si>
  <si>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</si>
  <si>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</si>
  <si>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</si>
  <si>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</si>
  <si>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</si>
  <si>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</si>
  <si>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</si>
  <si>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</si>
  <si>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</si>
  <si>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</si>
  <si>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</si>
  <si>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</si>
  <si>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</si>
  <si>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</si>
  <si>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</si>
  <si>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</si>
  <si>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</si>
  <si>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</si>
  <si>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</si>
  <si>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</si>
  <si>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</si>
  <si>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</si>
  <si>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</si>
  <si>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</si>
  <si>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</si>
  <si>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</si>
  <si>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</si>
  <si>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</si>
  <si>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</si>
  <si>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</si>
  <si>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</si>
  <si>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</si>
  <si>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</si>
  <si>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</si>
  <si>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</si>
  <si>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</si>
  <si>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</si>
  <si>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</si>
  <si>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</si>
  <si>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</si>
  <si>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</si>
  <si>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</si>
  <si>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</si>
  <si>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</si>
  <si>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</si>
  <si>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</si>
  <si>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</si>
  <si>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</si>
  <si>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</si>
  <si>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</si>
  <si>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</si>
  <si>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</si>
  <si>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</si>
  <si>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</si>
  <si>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</si>
  <si>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</si>
  <si>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</si>
  <si>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</si>
  <si>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</si>
  <si>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</si>
  <si>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</si>
  <si>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</si>
  <si>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</si>
  <si>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</si>
  <si>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</si>
  <si>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</si>
  <si>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</si>
  <si>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</si>
  <si>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</si>
  <si>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</si>
  <si>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</si>
  <si>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</si>
  <si>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</si>
  <si>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</si>
  <si>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</si>
  <si>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</si>
  <si>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</si>
  <si>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</si>
  <si>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</si>
  <si>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</si>
  <si>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</si>
  <si>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</si>
  <si>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</si>
  <si>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</si>
  <si>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</si>
  <si>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</si>
  <si>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</si>
  <si>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</si>
  <si>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</si>
  <si>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</si>
  <si>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</si>
  <si>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</si>
  <si>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</si>
  <si>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</si>
  <si>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</si>
  <si>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</si>
  <si>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</si>
  <si>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</si>
  <si>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</si>
  <si>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</si>
  <si>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</si>
  <si>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</si>
  <si>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</si>
  <si>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</si>
  <si>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</si>
  <si>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</si>
  <si>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</si>
  <si>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</si>
  <si>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</si>
  <si>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</si>
  <si>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</si>
  <si>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</si>
  <si>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</si>
  <si>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</si>
  <si>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</si>
  <si>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</si>
  <si>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</si>
  <si>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</si>
  <si>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</si>
  <si>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</si>
  <si>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</si>
  <si>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</si>
  <si>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</si>
  <si>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</si>
  <si>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</si>
  <si>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</si>
  <si>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</si>
  <si>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</si>
  <si>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</si>
  <si>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</si>
  <si>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</si>
  <si>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</si>
  <si>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</si>
  <si>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</si>
  <si>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</si>
  <si>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</si>
  <si>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</si>
  <si>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</si>
  <si>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</si>
  <si>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</si>
  <si>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</si>
  <si>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</si>
  <si>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</si>
  <si>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</si>
  <si>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</si>
  <si>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</si>
  <si>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</si>
  <si>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</si>
  <si>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</si>
  <si>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</si>
  <si>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</si>
  <si>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</si>
  <si>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</si>
  <si>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</si>
  <si>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</si>
  <si>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</si>
  <si>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</si>
  <si>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</si>
  <si>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</si>
  <si>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</si>
  <si>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</si>
  <si>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</si>
  <si>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</si>
  <si>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</si>
  <si>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</si>
  <si>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</si>
  <si>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</si>
  <si>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</si>
  <si>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</si>
  <si>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</si>
  <si>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</si>
  <si>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</si>
  <si>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</si>
  <si>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</si>
  <si>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</si>
  <si>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</si>
  <si>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</si>
  <si>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</si>
  <si>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</si>
  <si>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</si>
  <si>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</si>
  <si>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</si>
  <si>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</si>
  <si>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</si>
  <si>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</si>
  <si>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</si>
  <si>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</si>
  <si>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</si>
  <si>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</si>
  <si>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</si>
  <si>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</si>
  <si>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</si>
  <si>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</si>
  <si>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</si>
  <si>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</si>
  <si>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</si>
  <si>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</si>
  <si>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</si>
  <si>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</si>
  <si>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</si>
  <si>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</si>
  <si>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</si>
  <si>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</si>
  <si>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</si>
  <si>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</si>
  <si>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</si>
  <si>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</si>
  <si>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</si>
  <si>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</si>
  <si>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</si>
  <si>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</si>
  <si>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</si>
  <si>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</si>
  <si>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</si>
  <si>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</si>
  <si>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</si>
  <si>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</si>
  <si>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</si>
  <si>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</si>
  <si>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</si>
  <si>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</si>
  <si>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</si>
  <si>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</si>
  <si>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</si>
  <si>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</si>
  <si>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</si>
  <si>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</si>
  <si>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</si>
  <si>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</si>
  <si>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</si>
  <si>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</si>
  <si>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</si>
  <si>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</si>
  <si>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</si>
  <si>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</si>
  <si>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</si>
  <si>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</si>
  <si>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</si>
  <si>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</si>
  <si>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</si>
  <si>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</si>
  <si>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</si>
  <si>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</si>
  <si>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</si>
  <si>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</si>
  <si>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</si>
  <si>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</si>
  <si>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</si>
  <si>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</si>
  <si>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</si>
  <si>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</si>
  <si>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</si>
  <si>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</si>
  <si>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</si>
  <si>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</si>
  <si>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</si>
  <si>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</si>
  <si>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</si>
  <si>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</si>
  <si>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</si>
  <si>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</si>
  <si>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</si>
  <si>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</si>
  <si>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</si>
  <si>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</si>
  <si>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</si>
  <si>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</si>
  <si>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</si>
  <si>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</si>
  <si>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</si>
  <si>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</si>
  <si>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</si>
  <si>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</si>
  <si>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</si>
  <si>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</si>
  <si>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</si>
  <si>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</si>
  <si>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</si>
  <si>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</si>
  <si>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</si>
  <si>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</si>
  <si>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</si>
  <si>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</si>
  <si>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</si>
  <si>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</si>
  <si>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</si>
  <si>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</si>
  <si>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</si>
  <si>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</si>
  <si>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</si>
  <si>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</si>
  <si>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</si>
  <si>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</si>
  <si>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</si>
  <si>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</si>
  <si>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</si>
  <si>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</si>
  <si>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</si>
  <si>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</si>
  <si>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</si>
  <si>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</si>
  <si>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</si>
  <si>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</si>
  <si>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</si>
  <si>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</si>
  <si>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</si>
  <si>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</si>
  <si>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</si>
  <si>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</si>
  <si>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</si>
  <si>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</si>
  <si>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</si>
  <si>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</si>
  <si>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</si>
  <si>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</si>
  <si>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</si>
  <si>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</si>
  <si>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</si>
  <si>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</si>
  <si>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</si>
  <si>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</si>
  <si>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</si>
  <si>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</si>
  <si>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</si>
  <si>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</si>
  <si>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</si>
  <si>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</si>
  <si>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</si>
  <si>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</si>
  <si>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</si>
  <si>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</si>
  <si>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</si>
  <si>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</si>
  <si>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</si>
  <si>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</si>
  <si>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</si>
  <si>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</si>
  <si>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</si>
  <si>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</si>
  <si>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</si>
  <si>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</si>
  <si>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</si>
  <si>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</si>
  <si>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</si>
  <si>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</si>
  <si>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</si>
  <si>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</si>
  <si>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</si>
  <si>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</si>
  <si>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</si>
  <si>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</si>
  <si>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</si>
  <si>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</si>
  <si>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</si>
  <si>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</si>
  <si>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</si>
  <si>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</si>
  <si>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</si>
  <si>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</si>
  <si>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</si>
  <si>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</si>
  <si>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</si>
  <si>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</si>
  <si>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</si>
  <si>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</si>
  <si>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</si>
  <si>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</si>
  <si>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</si>
  <si>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</si>
  <si>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</si>
  <si>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</si>
  <si>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</si>
  <si>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</si>
  <si>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</si>
  <si>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</si>
  <si>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</si>
  <si>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</si>
  <si>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</si>
  <si>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</si>
  <si>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</si>
  <si>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</si>
  <si>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</si>
  <si>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</si>
  <si>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</si>
  <si>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</si>
  <si>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</si>
  <si>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</si>
  <si>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</si>
  <si>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</si>
  <si>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</si>
  <si>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</si>
  <si>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</si>
  <si>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</si>
  <si>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</si>
  <si>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</si>
  <si>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</si>
  <si>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</si>
  <si>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</si>
  <si>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</si>
  <si>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</si>
  <si>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</si>
  <si>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</si>
  <si>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</si>
  <si>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</si>
  <si>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</si>
  <si>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</si>
  <si>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</si>
  <si>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</si>
  <si>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</si>
  <si>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</si>
  <si>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</si>
  <si>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</si>
  <si>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</si>
  <si>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</si>
  <si>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</si>
  <si>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</si>
  <si>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</si>
  <si>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</si>
  <si>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</si>
  <si>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</si>
  <si>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</si>
  <si>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</si>
  <si>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</si>
  <si>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</si>
  <si>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</si>
  <si>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</si>
  <si>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</si>
  <si>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</si>
  <si>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</si>
  <si>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</si>
  <si>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</si>
  <si>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</si>
  <si>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</si>
  <si>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</si>
  <si>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</si>
  <si>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</si>
  <si>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</si>
  <si>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</si>
  <si>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</si>
  <si>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</si>
  <si>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</si>
  <si>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</si>
  <si>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</si>
  <si>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</si>
  <si>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</si>
  <si>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</si>
  <si>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</si>
  <si>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</si>
  <si>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</si>
  <si>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</si>
  <si>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</si>
  <si>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</si>
  <si>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</si>
  <si>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</si>
  <si>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</si>
  <si>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</si>
  <si>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</si>
  <si>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</si>
  <si>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</si>
  <si>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</si>
  <si>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</si>
  <si>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</si>
  <si>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</si>
  <si>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</si>
  <si>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</si>
  <si>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</si>
  <si>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</si>
  <si>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</si>
  <si>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</si>
  <si>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</si>
  <si>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</si>
  <si>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</si>
  <si>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</si>
  <si>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</si>
  <si>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</si>
  <si>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</si>
  <si>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</si>
  <si>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</si>
  <si>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</si>
  <si>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</si>
  <si>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</si>
  <si>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</si>
  <si>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</si>
  <si>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</si>
  <si>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</si>
  <si>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</si>
  <si>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</si>
  <si>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</si>
  <si>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</si>
  <si>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</si>
  <si>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</si>
  <si>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</si>
  <si>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</si>
  <si>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</si>
  <si>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</si>
  <si>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</si>
  <si>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</si>
  <si>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</si>
  <si>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</si>
  <si>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</si>
  <si>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</si>
  <si>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</si>
  <si>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</si>
  <si>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</si>
  <si>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</si>
  <si>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</si>
  <si>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</si>
  <si>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</si>
  <si>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</si>
  <si>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</si>
  <si>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</si>
  <si>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</si>
  <si>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</si>
  <si>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</si>
  <si>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</si>
  <si>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</si>
  <si>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</si>
  <si>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</si>
  <si>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</si>
  <si>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</si>
  <si>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</si>
  <si>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</si>
  <si>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</si>
  <si>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</si>
  <si>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</si>
  <si>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</si>
  <si>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</si>
  <si>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</si>
  <si>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</si>
  <si>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</si>
  <si>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</si>
  <si>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</si>
  <si>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</si>
  <si>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</si>
  <si>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</si>
  <si>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</si>
  <si>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</si>
  <si>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</si>
  <si>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</si>
  <si>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</si>
  <si>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</si>
  <si>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</si>
  <si>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</si>
  <si>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</si>
  <si>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</si>
  <si>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</si>
  <si>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</si>
  <si>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</si>
  <si>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</si>
  <si>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</si>
  <si>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</si>
  <si>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</si>
  <si>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</si>
  <si>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</si>
  <si>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</si>
  <si>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</si>
  <si>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</si>
  <si>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</si>
  <si>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</si>
  <si>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</si>
  <si>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</si>
  <si>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</si>
  <si>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</si>
  <si>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</si>
  <si>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</si>
  <si>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</si>
  <si>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</si>
  <si>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</si>
  <si>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</si>
  <si>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</si>
  <si>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</si>
  <si>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</si>
  <si>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</si>
  <si>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</si>
  <si>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</si>
  <si>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</si>
  <si>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</si>
  <si>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</si>
  <si>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</si>
  <si>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</si>
  <si>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</si>
  <si>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</si>
  <si>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</si>
  <si>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</si>
  <si>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</si>
  <si>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</si>
  <si>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</si>
  <si>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</si>
  <si>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</si>
  <si>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</si>
  <si>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</si>
  <si>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</si>
  <si>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</si>
  <si>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</si>
  <si>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</si>
  <si>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</si>
  <si>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</si>
  <si>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</si>
  <si>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</si>
  <si>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</si>
  <si>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</si>
  <si>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</si>
  <si>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</si>
  <si>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</si>
  <si>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</si>
  <si>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</si>
  <si>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</si>
  <si>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</si>
  <si>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</si>
  <si>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</si>
  <si>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</si>
  <si>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</si>
  <si>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</si>
  <si>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</si>
  <si>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</si>
  <si>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</si>
  <si>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</si>
  <si>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</si>
  <si>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</si>
  <si>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</si>
  <si>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</si>
  <si>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</si>
  <si>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</si>
  <si>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</si>
  <si>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</si>
  <si>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</si>
  <si>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</si>
  <si>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</si>
  <si>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</si>
  <si>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</si>
  <si>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</si>
  <si>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</si>
  <si>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</si>
  <si>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</si>
  <si>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</si>
  <si>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</si>
  <si>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</si>
  <si>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</si>
  <si>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</si>
  <si>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</si>
  <si>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</si>
  <si>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</si>
  <si>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</si>
  <si>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</si>
  <si>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</si>
  <si>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</si>
  <si>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</si>
  <si>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</si>
  <si>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</si>
  <si>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</si>
  <si>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</si>
  <si>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</si>
  <si>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</si>
  <si>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</si>
  <si>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</si>
  <si>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</si>
  <si>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</si>
  <si>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</si>
  <si>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</si>
  <si>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</si>
  <si>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</si>
  <si>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</si>
  <si>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</si>
  <si>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</si>
  <si>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</si>
  <si>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</si>
  <si>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</si>
  <si>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</si>
  <si>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</si>
  <si>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</si>
  <si>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</si>
  <si>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</si>
  <si>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</si>
  <si>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</si>
  <si>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</si>
  <si>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</si>
  <si>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</si>
  <si>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</si>
  <si>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</si>
  <si>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</si>
  <si>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</si>
  <si>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</si>
  <si>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</si>
  <si>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</si>
  <si>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</si>
  <si>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</si>
  <si>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</si>
  <si>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</si>
  <si>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</si>
  <si>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</si>
  <si>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</si>
  <si>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</si>
  <si>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</si>
  <si>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</si>
  <si>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</si>
  <si>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</si>
  <si>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</si>
  <si>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</si>
  <si>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</si>
  <si>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</si>
  <si>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</si>
  <si>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</si>
  <si>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</si>
  <si>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</si>
  <si>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</si>
  <si>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</si>
  <si>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</si>
  <si>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</si>
  <si>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</si>
  <si>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</si>
  <si>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</si>
  <si>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</si>
  <si>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</si>
  <si>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</si>
  <si>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</si>
  <si>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</si>
  <si>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</si>
  <si>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</si>
  <si>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</si>
  <si>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</si>
  <si>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</si>
  <si>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</si>
  <si>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陈颖</t>
  </si>
  <si>
    <t>核定资产</t>
  </si>
  <si>
    <t>房地产市场价值</t>
  </si>
  <si>
    <t>北京市</t>
  </si>
  <si>
    <t>自然人</t>
  </si>
  <si>
    <t>地上</t>
  </si>
  <si>
    <t>住宅</t>
  </si>
  <si>
    <t>是</t>
  </si>
  <si>
    <t>成新度</t>
  </si>
  <si>
    <t>钢混</t>
  </si>
  <si>
    <t>非生产用房</t>
  </si>
  <si>
    <t>A</t>
    <phoneticPr fontId="134" type="noConversion"/>
  </si>
  <si>
    <t>B</t>
    <phoneticPr fontId="134" type="noConversion"/>
  </si>
  <si>
    <t>C</t>
    <phoneticPr fontId="134" type="noConversion"/>
  </si>
  <si>
    <t>朝阳北路107号院25号楼8层802</t>
    <phoneticPr fontId="3" type="noConversion"/>
  </si>
  <si>
    <t>单套模式</t>
  </si>
  <si>
    <t xml:space="preserve"> 珠江罗马嘉园西区</t>
    <phoneticPr fontId="3" type="noConversion"/>
  </si>
  <si>
    <t>正常</t>
  </si>
  <si>
    <t>住宅</t>
    <phoneticPr fontId="24" type="noConversion"/>
  </si>
  <si>
    <t>南北</t>
  </si>
  <si>
    <t>南北</t>
    <phoneticPr fontId="24" type="noConversion"/>
  </si>
  <si>
    <t>西南</t>
  </si>
  <si>
    <t>西南</t>
    <phoneticPr fontId="24" type="noConversion"/>
  </si>
  <si>
    <t>南</t>
  </si>
  <si>
    <t>南</t>
    <phoneticPr fontId="24" type="noConversion"/>
  </si>
  <si>
    <t>估价对象周边有润枫水尚、华纺易城、国美第一城、晨光家园、甘露园南里等居住小区，小区规模和社区发展完善程度较高，综合评价居住社区成熟度较好</t>
    <phoneticPr fontId="40" type="noConversion"/>
  </si>
  <si>
    <t>估价对象周边有75路、126路、675路、682路、991路等多条公交线路，距地铁6号线（青年路站）约400米，综合评价交通便捷度较好</t>
    <phoneticPr fontId="40" type="noConversion"/>
  </si>
  <si>
    <t>估价对象所在区域公共配套设施齐备情况较好</t>
    <phoneticPr fontId="40" type="noConversion"/>
  </si>
  <si>
    <t>估价对象所在区域基础设施水平达七通</t>
    <phoneticPr fontId="24" type="noConversion"/>
  </si>
  <si>
    <t>区域自然环境：京城森林公园、红领巾公园、二道沟等；人文环境；四季体育馆；综合评价环境状况较好。</t>
    <phoneticPr fontId="40" type="noConversion"/>
  </si>
  <si>
    <t>城市主干道——朝阳北路</t>
    <phoneticPr fontId="24" type="noConversion"/>
  </si>
  <si>
    <t>较好</t>
  </si>
  <si>
    <t>七通</t>
  </si>
  <si>
    <t>东西</t>
  </si>
  <si>
    <t>东西</t>
    <phoneticPr fontId="24" type="noConversion"/>
  </si>
  <si>
    <t>东南</t>
    <phoneticPr fontId="24" type="noConversion"/>
  </si>
  <si>
    <t>楼层</t>
    <phoneticPr fontId="24" type="noConversion"/>
  </si>
  <si>
    <r>
      <t>15/22</t>
    </r>
    <r>
      <rPr>
        <sz val="11"/>
        <color indexed="8"/>
        <rFont val="宋体"/>
        <family val="3"/>
        <charset val="134"/>
      </rPr>
      <t>（高区）</t>
    </r>
    <phoneticPr fontId="24" type="noConversion"/>
  </si>
  <si>
    <r>
      <t>8/11</t>
    </r>
    <r>
      <rPr>
        <sz val="11"/>
        <color indexed="8"/>
        <rFont val="宋体"/>
        <family val="3"/>
        <charset val="134"/>
      </rPr>
      <t>（高区）</t>
    </r>
    <phoneticPr fontId="24" type="noConversion"/>
  </si>
  <si>
    <r>
      <t>8/17</t>
    </r>
    <r>
      <rPr>
        <sz val="11"/>
        <color indexed="8"/>
        <rFont val="宋体"/>
        <family val="3"/>
        <charset val="134"/>
      </rPr>
      <t>（中区）</t>
    </r>
    <phoneticPr fontId="24" type="noConversion"/>
  </si>
  <si>
    <r>
      <t>1/22</t>
    </r>
    <r>
      <rPr>
        <sz val="11"/>
        <color indexed="8"/>
        <rFont val="宋体"/>
        <family val="3"/>
        <charset val="134"/>
      </rPr>
      <t>（底层）</t>
    </r>
    <phoneticPr fontId="24" type="noConversion"/>
  </si>
  <si>
    <t>板楼</t>
  </si>
  <si>
    <t>板楼</t>
    <phoneticPr fontId="24" type="noConversion"/>
  </si>
  <si>
    <t>塔楼</t>
  </si>
  <si>
    <t>塔楼</t>
    <phoneticPr fontId="24" type="noConversion"/>
  </si>
  <si>
    <t>钢混</t>
    <phoneticPr fontId="24" type="noConversion"/>
  </si>
  <si>
    <t>普通装修</t>
  </si>
  <si>
    <t>普通装修</t>
    <phoneticPr fontId="24" type="noConversion"/>
  </si>
  <si>
    <t>物业公司管理</t>
  </si>
  <si>
    <t>物业公司管理</t>
    <phoneticPr fontId="24" type="noConversion"/>
  </si>
  <si>
    <t>七通</t>
    <phoneticPr fontId="24" type="noConversion"/>
  </si>
  <si>
    <t>平层</t>
  </si>
  <si>
    <t>平层</t>
    <phoneticPr fontId="24" type="noConversion"/>
  </si>
  <si>
    <t>简单装修</t>
    <phoneticPr fontId="24" type="noConversion"/>
  </si>
  <si>
    <t>建成年代</t>
    <phoneticPr fontId="24" type="noConversion"/>
  </si>
  <si>
    <t>收益法 (元)</t>
  </si>
  <si>
    <t>比较法-住宅</t>
  </si>
  <si>
    <t>利息：取LPR加浮动点数</t>
  </si>
  <si>
    <t>押一</t>
  </si>
  <si>
    <t>售价</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</si>
</sst>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03">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95" fillId="0" borderId="0" xfId="0" applyFont="1" applyAlignment="1">
      <alignment horizontal="right" vertical="center"/>
    </xf>
    <xf numFmtId="0" fontId="128" fillId="0" borderId="51"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49" fontId="222" fillId="0" borderId="10" xfId="0" applyNumberFormat="1" applyFont="1" applyFill="1" applyBorder="1" applyAlignment="1" applyProtection="1">
      <alignment vertical="center" wrapText="1"/>
      <protection locked="0"/>
    </xf>
    <xf numFmtId="0" fontId="222" fillId="0" borderId="24" xfId="0" applyFont="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222" fillId="0" borderId="49" xfId="0" applyFont="1" applyBorder="1" applyAlignment="1" applyProtection="1">
      <alignment vertical="center"/>
      <protection locked="0"/>
    </xf>
    <xf numFmtId="0" fontId="128" fillId="0" borderId="83" xfId="0" applyNumberFormat="1" applyFont="1" applyFill="1" applyBorder="1" applyAlignment="1" applyProtection="1">
      <alignment horizontal="center" vertical="center"/>
      <protection locked="0"/>
    </xf>
    <xf numFmtId="0" fontId="128" fillId="0" borderId="5" xfId="0" applyFont="1" applyFill="1" applyBorder="1" applyAlignment="1" applyProtection="1">
      <alignment horizontal="center" vertical="center" wrapText="1"/>
      <protection locked="0"/>
    </xf>
    <xf numFmtId="49" fontId="44"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79" fontId="52" fillId="9" borderId="24" xfId="0" applyNumberFormat="1" applyFont="1" applyFill="1" applyBorder="1" applyAlignment="1" applyProtection="1">
      <alignment horizontal="center" vertical="center"/>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208"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19</xdr:col>
      <xdr:colOff>322181</xdr:colOff>
      <xdr:row>20</xdr:row>
      <xdr:rowOff>113857</xdr:rowOff>
    </xdr:to>
    <xdr:pic>
      <xdr:nvPicPr>
        <xdr:cNvPr id="2" name="图片 1">
          <a:extLst>
            <a:ext uri="{FF2B5EF4-FFF2-40B4-BE49-F238E27FC236}">
              <a16:creationId xmlns:a16="http://schemas.microsoft.com/office/drawing/2014/main" id="{197F5133-EED8-406E-8EB1-63E1A17DCE4E}"/>
            </a:ext>
          </a:extLst>
        </xdr:cNvPr>
        <xdr:cNvPicPr>
          <a:picLocks noChangeAspect="1"/>
        </xdr:cNvPicPr>
      </xdr:nvPicPr>
      <xdr:blipFill>
        <a:blip xmlns:r="http://schemas.openxmlformats.org/officeDocument/2006/relationships" r:embed="rId1"/>
        <a:stretch>
          <a:fillRect/>
        </a:stretch>
      </xdr:blipFill>
      <xdr:spPr>
        <a:xfrm>
          <a:off x="0" y="0"/>
          <a:ext cx="13352381" cy="3542857"/>
        </a:xfrm>
        <a:prstGeom prst="rect">
          <a:avLst/>
        </a:prstGeom>
      </xdr:spPr>
    </xdr:pic>
    <xdr:clientData/>
  </xdr:twoCellAnchor>
  <xdr:twoCellAnchor editAs="oneCell">
    <xdr:from>
      <xdr:col>0</xdr:col>
      <xdr:colOff>0</xdr:colOff>
      <xdr:row>20</xdr:row>
      <xdr:rowOff>95250</xdr:rowOff>
    </xdr:from>
    <xdr:to>
      <xdr:col>19</xdr:col>
      <xdr:colOff>341228</xdr:colOff>
      <xdr:row>43</xdr:row>
      <xdr:rowOff>75709</xdr:rowOff>
    </xdr:to>
    <xdr:pic>
      <xdr:nvPicPr>
        <xdr:cNvPr id="3" name="图片 2">
          <a:extLst>
            <a:ext uri="{FF2B5EF4-FFF2-40B4-BE49-F238E27FC236}">
              <a16:creationId xmlns:a16="http://schemas.microsoft.com/office/drawing/2014/main" id="{0F3C7340-FA5C-4687-8481-F9E151713F70}"/>
            </a:ext>
          </a:extLst>
        </xdr:cNvPr>
        <xdr:cNvPicPr>
          <a:picLocks noChangeAspect="1"/>
        </xdr:cNvPicPr>
      </xdr:nvPicPr>
      <xdr:blipFill>
        <a:blip xmlns:r="http://schemas.openxmlformats.org/officeDocument/2006/relationships" r:embed="rId2"/>
        <a:stretch>
          <a:fillRect/>
        </a:stretch>
      </xdr:blipFill>
      <xdr:spPr>
        <a:xfrm>
          <a:off x="0" y="3524250"/>
          <a:ext cx="13371428" cy="3923809"/>
        </a:xfrm>
        <a:prstGeom prst="rect">
          <a:avLst/>
        </a:prstGeom>
      </xdr:spPr>
    </xdr:pic>
    <xdr:clientData/>
  </xdr:twoCellAnchor>
  <xdr:twoCellAnchor editAs="oneCell">
    <xdr:from>
      <xdr:col>0</xdr:col>
      <xdr:colOff>0</xdr:colOff>
      <xdr:row>43</xdr:row>
      <xdr:rowOff>0</xdr:rowOff>
    </xdr:from>
    <xdr:to>
      <xdr:col>19</xdr:col>
      <xdr:colOff>312657</xdr:colOff>
      <xdr:row>65</xdr:row>
      <xdr:rowOff>170957</xdr:rowOff>
    </xdr:to>
    <xdr:pic>
      <xdr:nvPicPr>
        <xdr:cNvPr id="4" name="图片 3">
          <a:extLst>
            <a:ext uri="{FF2B5EF4-FFF2-40B4-BE49-F238E27FC236}">
              <a16:creationId xmlns:a16="http://schemas.microsoft.com/office/drawing/2014/main" id="{252D2626-452C-45E8-A5A6-3B9C428CF0B5}"/>
            </a:ext>
          </a:extLst>
        </xdr:cNvPr>
        <xdr:cNvPicPr>
          <a:picLocks noChangeAspect="1"/>
        </xdr:cNvPicPr>
      </xdr:nvPicPr>
      <xdr:blipFill>
        <a:blip xmlns:r="http://schemas.openxmlformats.org/officeDocument/2006/relationships" r:embed="rId3"/>
        <a:stretch>
          <a:fillRect/>
        </a:stretch>
      </xdr:blipFill>
      <xdr:spPr>
        <a:xfrm>
          <a:off x="0" y="7372350"/>
          <a:ext cx="13342857" cy="3942857"/>
        </a:xfrm>
        <a:prstGeom prst="rect">
          <a:avLst/>
        </a:prstGeom>
      </xdr:spPr>
    </xdr:pic>
    <xdr:clientData/>
  </xdr:twoCellAnchor>
  <xdr:twoCellAnchor editAs="oneCell">
    <xdr:from>
      <xdr:col>20</xdr:col>
      <xdr:colOff>123825</xdr:colOff>
      <xdr:row>43</xdr:row>
      <xdr:rowOff>38100</xdr:rowOff>
    </xdr:from>
    <xdr:to>
      <xdr:col>30</xdr:col>
      <xdr:colOff>484873</xdr:colOff>
      <xdr:row>60</xdr:row>
      <xdr:rowOff>132974</xdr:rowOff>
    </xdr:to>
    <xdr:pic>
      <xdr:nvPicPr>
        <xdr:cNvPr id="5" name="图片 4">
          <a:extLst>
            <a:ext uri="{FF2B5EF4-FFF2-40B4-BE49-F238E27FC236}">
              <a16:creationId xmlns:a16="http://schemas.microsoft.com/office/drawing/2014/main" id="{5423E810-F535-4793-A37C-CB1F240CF26B}"/>
            </a:ext>
          </a:extLst>
        </xdr:cNvPr>
        <xdr:cNvPicPr>
          <a:picLocks noChangeAspect="1"/>
        </xdr:cNvPicPr>
      </xdr:nvPicPr>
      <xdr:blipFill>
        <a:blip xmlns:r="http://schemas.openxmlformats.org/officeDocument/2006/relationships" r:embed="rId4"/>
        <a:stretch>
          <a:fillRect/>
        </a:stretch>
      </xdr:blipFill>
      <xdr:spPr>
        <a:xfrm>
          <a:off x="13839825" y="7410450"/>
          <a:ext cx="7219048" cy="3009524"/>
        </a:xfrm>
        <a:prstGeom prst="rect">
          <a:avLst/>
        </a:prstGeom>
      </xdr:spPr>
    </xdr:pic>
    <xdr:clientData/>
  </xdr:twoCellAnchor>
  <xdr:twoCellAnchor editAs="oneCell">
    <xdr:from>
      <xdr:col>20</xdr:col>
      <xdr:colOff>152400</xdr:colOff>
      <xdr:row>60</xdr:row>
      <xdr:rowOff>142875</xdr:rowOff>
    </xdr:from>
    <xdr:to>
      <xdr:col>28</xdr:col>
      <xdr:colOff>427905</xdr:colOff>
      <xdr:row>70</xdr:row>
      <xdr:rowOff>123613</xdr:rowOff>
    </xdr:to>
    <xdr:pic>
      <xdr:nvPicPr>
        <xdr:cNvPr id="6" name="图片 5">
          <a:extLst>
            <a:ext uri="{FF2B5EF4-FFF2-40B4-BE49-F238E27FC236}">
              <a16:creationId xmlns:a16="http://schemas.microsoft.com/office/drawing/2014/main" id="{7EA074C6-B3B2-4E5F-A001-68BD24A8DE92}"/>
            </a:ext>
          </a:extLst>
        </xdr:cNvPr>
        <xdr:cNvPicPr>
          <a:picLocks noChangeAspect="1"/>
        </xdr:cNvPicPr>
      </xdr:nvPicPr>
      <xdr:blipFill>
        <a:blip xmlns:r="http://schemas.openxmlformats.org/officeDocument/2006/relationships" r:embed="rId5"/>
        <a:stretch>
          <a:fillRect/>
        </a:stretch>
      </xdr:blipFill>
      <xdr:spPr>
        <a:xfrm>
          <a:off x="13868400" y="10429875"/>
          <a:ext cx="5761905" cy="1695238"/>
        </a:xfrm>
        <a:prstGeom prst="rect">
          <a:avLst/>
        </a:prstGeom>
      </xdr:spPr>
    </xdr:pic>
    <xdr:clientData/>
  </xdr:twoCellAnchor>
  <xdr:twoCellAnchor editAs="oneCell">
    <xdr:from>
      <xdr:col>20</xdr:col>
      <xdr:colOff>171450</xdr:colOff>
      <xdr:row>70</xdr:row>
      <xdr:rowOff>38100</xdr:rowOff>
    </xdr:from>
    <xdr:to>
      <xdr:col>29</xdr:col>
      <xdr:colOff>37345</xdr:colOff>
      <xdr:row>96</xdr:row>
      <xdr:rowOff>161352</xdr:rowOff>
    </xdr:to>
    <xdr:pic>
      <xdr:nvPicPr>
        <xdr:cNvPr id="7" name="图片 6">
          <a:extLst>
            <a:ext uri="{FF2B5EF4-FFF2-40B4-BE49-F238E27FC236}">
              <a16:creationId xmlns:a16="http://schemas.microsoft.com/office/drawing/2014/main" id="{5322B214-C066-4FB2-9B8F-87A2B04E1EDA}"/>
            </a:ext>
          </a:extLst>
        </xdr:cNvPr>
        <xdr:cNvPicPr>
          <a:picLocks noChangeAspect="1"/>
        </xdr:cNvPicPr>
      </xdr:nvPicPr>
      <xdr:blipFill>
        <a:blip xmlns:r="http://schemas.openxmlformats.org/officeDocument/2006/relationships" r:embed="rId6"/>
        <a:stretch>
          <a:fillRect/>
        </a:stretch>
      </xdr:blipFill>
      <xdr:spPr>
        <a:xfrm>
          <a:off x="13887450" y="12039600"/>
          <a:ext cx="6038095" cy="4580952"/>
        </a:xfrm>
        <a:prstGeom prst="rect">
          <a:avLst/>
        </a:prstGeom>
      </xdr:spPr>
    </xdr:pic>
    <xdr:clientData/>
  </xdr:twoCellAnchor>
  <xdr:twoCellAnchor editAs="oneCell">
    <xdr:from>
      <xdr:col>20</xdr:col>
      <xdr:colOff>57150</xdr:colOff>
      <xdr:row>12</xdr:row>
      <xdr:rowOff>123825</xdr:rowOff>
    </xdr:from>
    <xdr:to>
      <xdr:col>30</xdr:col>
      <xdr:colOff>284864</xdr:colOff>
      <xdr:row>30</xdr:row>
      <xdr:rowOff>113915</xdr:rowOff>
    </xdr:to>
    <xdr:pic>
      <xdr:nvPicPr>
        <xdr:cNvPr id="8" name="图片 7">
          <a:extLst>
            <a:ext uri="{FF2B5EF4-FFF2-40B4-BE49-F238E27FC236}">
              <a16:creationId xmlns:a16="http://schemas.microsoft.com/office/drawing/2014/main" id="{A3683A76-07EC-402B-A7B2-19DEF43A6C44}"/>
            </a:ext>
          </a:extLst>
        </xdr:cNvPr>
        <xdr:cNvPicPr>
          <a:picLocks noChangeAspect="1"/>
        </xdr:cNvPicPr>
      </xdr:nvPicPr>
      <xdr:blipFill>
        <a:blip xmlns:r="http://schemas.openxmlformats.org/officeDocument/2006/relationships" r:embed="rId7"/>
        <a:stretch>
          <a:fillRect/>
        </a:stretch>
      </xdr:blipFill>
      <xdr:spPr>
        <a:xfrm>
          <a:off x="13773150" y="2181225"/>
          <a:ext cx="7085714" cy="3076190"/>
        </a:xfrm>
        <a:prstGeom prst="rect">
          <a:avLst/>
        </a:prstGeom>
      </xdr:spPr>
    </xdr:pic>
    <xdr:clientData/>
  </xdr:twoCellAnchor>
  <xdr:twoCellAnchor editAs="oneCell">
    <xdr:from>
      <xdr:col>20</xdr:col>
      <xdr:colOff>66675</xdr:colOff>
      <xdr:row>3</xdr:row>
      <xdr:rowOff>9525</xdr:rowOff>
    </xdr:from>
    <xdr:to>
      <xdr:col>28</xdr:col>
      <xdr:colOff>523132</xdr:colOff>
      <xdr:row>13</xdr:row>
      <xdr:rowOff>9311</xdr:rowOff>
    </xdr:to>
    <xdr:pic>
      <xdr:nvPicPr>
        <xdr:cNvPr id="9" name="图片 8">
          <a:extLst>
            <a:ext uri="{FF2B5EF4-FFF2-40B4-BE49-F238E27FC236}">
              <a16:creationId xmlns:a16="http://schemas.microsoft.com/office/drawing/2014/main" id="{BAF06E08-EC14-4CA9-B5D7-FBCC9F11BC63}"/>
            </a:ext>
          </a:extLst>
        </xdr:cNvPr>
        <xdr:cNvPicPr>
          <a:picLocks noChangeAspect="1"/>
        </xdr:cNvPicPr>
      </xdr:nvPicPr>
      <xdr:blipFill>
        <a:blip xmlns:r="http://schemas.openxmlformats.org/officeDocument/2006/relationships" r:embed="rId8"/>
        <a:stretch>
          <a:fillRect/>
        </a:stretch>
      </xdr:blipFill>
      <xdr:spPr>
        <a:xfrm>
          <a:off x="13782675" y="523875"/>
          <a:ext cx="5942857" cy="1714286"/>
        </a:xfrm>
        <a:prstGeom prst="rect">
          <a:avLst/>
        </a:prstGeom>
      </xdr:spPr>
    </xdr:pic>
    <xdr:clientData/>
  </xdr:twoCellAnchor>
  <xdr:twoCellAnchor editAs="oneCell">
    <xdr:from>
      <xdr:col>28</xdr:col>
      <xdr:colOff>457200</xdr:colOff>
      <xdr:row>0</xdr:row>
      <xdr:rowOff>9525</xdr:rowOff>
    </xdr:from>
    <xdr:to>
      <xdr:col>38</xdr:col>
      <xdr:colOff>342057</xdr:colOff>
      <xdr:row>27</xdr:row>
      <xdr:rowOff>18470</xdr:rowOff>
    </xdr:to>
    <xdr:pic>
      <xdr:nvPicPr>
        <xdr:cNvPr id="10" name="图片 9">
          <a:extLst>
            <a:ext uri="{FF2B5EF4-FFF2-40B4-BE49-F238E27FC236}">
              <a16:creationId xmlns:a16="http://schemas.microsoft.com/office/drawing/2014/main" id="{6B13743D-DD80-469C-89B5-C91235A11C3A}"/>
            </a:ext>
          </a:extLst>
        </xdr:cNvPr>
        <xdr:cNvPicPr>
          <a:picLocks noChangeAspect="1"/>
        </xdr:cNvPicPr>
      </xdr:nvPicPr>
      <xdr:blipFill>
        <a:blip xmlns:r="http://schemas.openxmlformats.org/officeDocument/2006/relationships" r:embed="rId9"/>
        <a:stretch>
          <a:fillRect/>
        </a:stretch>
      </xdr:blipFill>
      <xdr:spPr>
        <a:xfrm>
          <a:off x="19659600" y="9525"/>
          <a:ext cx="6742857" cy="4638095"/>
        </a:xfrm>
        <a:prstGeom prst="rect">
          <a:avLst/>
        </a:prstGeom>
      </xdr:spPr>
    </xdr:pic>
    <xdr:clientData/>
  </xdr:twoCellAnchor>
  <xdr:twoCellAnchor editAs="oneCell">
    <xdr:from>
      <xdr:col>20</xdr:col>
      <xdr:colOff>9525</xdr:colOff>
      <xdr:row>26</xdr:row>
      <xdr:rowOff>38100</xdr:rowOff>
    </xdr:from>
    <xdr:to>
      <xdr:col>31</xdr:col>
      <xdr:colOff>589534</xdr:colOff>
      <xdr:row>45</xdr:row>
      <xdr:rowOff>85312</xdr:rowOff>
    </xdr:to>
    <xdr:pic>
      <xdr:nvPicPr>
        <xdr:cNvPr id="11" name="图片 10">
          <a:extLst>
            <a:ext uri="{FF2B5EF4-FFF2-40B4-BE49-F238E27FC236}">
              <a16:creationId xmlns:a16="http://schemas.microsoft.com/office/drawing/2014/main" id="{4579A247-4705-4892-B7A7-397B13986F73}"/>
            </a:ext>
          </a:extLst>
        </xdr:cNvPr>
        <xdr:cNvPicPr>
          <a:picLocks noChangeAspect="1"/>
        </xdr:cNvPicPr>
      </xdr:nvPicPr>
      <xdr:blipFill>
        <a:blip xmlns:r="http://schemas.openxmlformats.org/officeDocument/2006/relationships" r:embed="rId10"/>
        <a:stretch>
          <a:fillRect/>
        </a:stretch>
      </xdr:blipFill>
      <xdr:spPr>
        <a:xfrm>
          <a:off x="13725525" y="4495800"/>
          <a:ext cx="8123809" cy="3304762"/>
        </a:xfrm>
        <a:prstGeom prst="rect">
          <a:avLst/>
        </a:prstGeom>
      </xdr:spPr>
    </xdr:pic>
    <xdr:clientData/>
  </xdr:twoCellAnchor>
  <xdr:twoCellAnchor editAs="oneCell">
    <xdr:from>
      <xdr:col>31</xdr:col>
      <xdr:colOff>514350</xdr:colOff>
      <xdr:row>26</xdr:row>
      <xdr:rowOff>142875</xdr:rowOff>
    </xdr:from>
    <xdr:to>
      <xdr:col>41</xdr:col>
      <xdr:colOff>75398</xdr:colOff>
      <xdr:row>53</xdr:row>
      <xdr:rowOff>28011</xdr:rowOff>
    </xdr:to>
    <xdr:pic>
      <xdr:nvPicPr>
        <xdr:cNvPr id="12" name="图片 11">
          <a:extLst>
            <a:ext uri="{FF2B5EF4-FFF2-40B4-BE49-F238E27FC236}">
              <a16:creationId xmlns:a16="http://schemas.microsoft.com/office/drawing/2014/main" id="{4D83DC7B-F9DC-4860-95F5-A3A008EB6A5A}"/>
            </a:ext>
          </a:extLst>
        </xdr:cNvPr>
        <xdr:cNvPicPr>
          <a:picLocks noChangeAspect="1"/>
        </xdr:cNvPicPr>
      </xdr:nvPicPr>
      <xdr:blipFill>
        <a:blip xmlns:r="http://schemas.openxmlformats.org/officeDocument/2006/relationships" r:embed="rId11"/>
        <a:stretch>
          <a:fillRect/>
        </a:stretch>
      </xdr:blipFill>
      <xdr:spPr>
        <a:xfrm>
          <a:off x="21774150" y="4600575"/>
          <a:ext cx="6419048" cy="4514286"/>
        </a:xfrm>
        <a:prstGeom prst="rect">
          <a:avLst/>
        </a:prstGeom>
      </xdr:spPr>
    </xdr:pic>
    <xdr:clientData/>
  </xdr:twoCellAnchor>
  <xdr:twoCellAnchor editAs="oneCell">
    <xdr:from>
      <xdr:col>27</xdr:col>
      <xdr:colOff>409575</xdr:colOff>
      <xdr:row>34</xdr:row>
      <xdr:rowOff>0</xdr:rowOff>
    </xdr:from>
    <xdr:to>
      <xdr:col>36</xdr:col>
      <xdr:colOff>523089</xdr:colOff>
      <xdr:row>43</xdr:row>
      <xdr:rowOff>152188</xdr:rowOff>
    </xdr:to>
    <xdr:pic>
      <xdr:nvPicPr>
        <xdr:cNvPr id="13" name="图片 12">
          <a:extLst>
            <a:ext uri="{FF2B5EF4-FFF2-40B4-BE49-F238E27FC236}">
              <a16:creationId xmlns:a16="http://schemas.microsoft.com/office/drawing/2014/main" id="{2EF6FE78-50B3-40CC-B2A7-B9928E05BBC1}"/>
            </a:ext>
          </a:extLst>
        </xdr:cNvPr>
        <xdr:cNvPicPr>
          <a:picLocks noChangeAspect="1"/>
        </xdr:cNvPicPr>
      </xdr:nvPicPr>
      <xdr:blipFill>
        <a:blip xmlns:r="http://schemas.openxmlformats.org/officeDocument/2006/relationships" r:embed="rId12"/>
        <a:stretch>
          <a:fillRect/>
        </a:stretch>
      </xdr:blipFill>
      <xdr:spPr>
        <a:xfrm>
          <a:off x="18926175" y="5829300"/>
          <a:ext cx="6285714" cy="1695238"/>
        </a:xfrm>
        <a:prstGeom prst="rect">
          <a:avLst/>
        </a:prstGeom>
      </xdr:spPr>
    </xdr:pic>
    <xdr:clientData/>
  </xdr:twoCellAnchor>
  <xdr:twoCellAnchor editAs="oneCell">
    <xdr:from>
      <xdr:col>0</xdr:col>
      <xdr:colOff>0</xdr:colOff>
      <xdr:row>67</xdr:row>
      <xdr:rowOff>0</xdr:rowOff>
    </xdr:from>
    <xdr:to>
      <xdr:col>17</xdr:col>
      <xdr:colOff>398543</xdr:colOff>
      <xdr:row>73</xdr:row>
      <xdr:rowOff>95110</xdr:rowOff>
    </xdr:to>
    <xdr:pic>
      <xdr:nvPicPr>
        <xdr:cNvPr id="14" name="图片 13">
          <a:extLst>
            <a:ext uri="{FF2B5EF4-FFF2-40B4-BE49-F238E27FC236}">
              <a16:creationId xmlns:a16="http://schemas.microsoft.com/office/drawing/2014/main" id="{F0F9270A-B4E9-4DF1-86D4-FADB9B87CB87}"/>
            </a:ext>
          </a:extLst>
        </xdr:cNvPr>
        <xdr:cNvPicPr>
          <a:picLocks noChangeAspect="1"/>
        </xdr:cNvPicPr>
      </xdr:nvPicPr>
      <xdr:blipFill>
        <a:blip xmlns:r="http://schemas.openxmlformats.org/officeDocument/2006/relationships" r:embed="rId13"/>
        <a:stretch>
          <a:fillRect/>
        </a:stretch>
      </xdr:blipFill>
      <xdr:spPr>
        <a:xfrm>
          <a:off x="0" y="11487150"/>
          <a:ext cx="12057143" cy="112381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北京市房地产市场价值预评估</v>
      </c>
    </row>
    <row r="3" spans="1:2" s="1203" customFormat="1">
      <c r="A3" s="1201" t="s">
        <v>523</v>
      </c>
      <c r="B3" s="1202">
        <f>'预评函-封皮'!B40</f>
        <v>0</v>
      </c>
    </row>
    <row r="4" spans="1:2" s="1203" customFormat="1">
      <c r="A4" s="1201" t="s">
        <v>524</v>
      </c>
      <c r="B4" s="1202" t="str">
        <f ca="1">'预评函-封皮'!B46</f>
        <v>陈颖（注册号：1120060040)、（注册号：0)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受贵公司委托，我公司对北京市房地产市场价值进行了预评估。</v>
      </c>
    </row>
    <row r="7" spans="1:2" s="1203" customFormat="1">
      <c r="A7" s="1201" t="s">
        <v>566</v>
      </c>
      <c r="B7" s="1202" t="str">
        <f>'预评函-1'!A7</f>
        <v>估价对象为北京市房地产，为所有。根据《国有土地使用证》[]，估价对象（分摊）出让国有建设用地使用权面积为0平方米，建筑面积为162.94平方米。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估价对象为北京市房地产,属开发建设的，该项目尚在开发建设中。根据《国有土地使用证》[]，估价对象（分摊）出让国有建设用地使用权面积为0平方米，规划建筑面积为162.94平方米。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为估价委托人了解估价对象房地产市场价值提供参考依据。</v>
      </c>
    </row>
    <row r="12" spans="1:2" s="1203" customFormat="1">
      <c r="A12" s="1201" t="s">
        <v>528</v>
      </c>
      <c r="B12" s="1202" t="str">
        <f>'预评函-1'!A15</f>
        <v>2023年8月15日</v>
      </c>
    </row>
    <row r="13" spans="1:2" s="1203" customFormat="1">
      <c r="A13" s="1201" t="s">
        <v>529</v>
      </c>
      <c r="B13" s="1202" t="str">
        <f>'预评函-1'!A18</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v>
      </c>
    </row>
    <row r="16" spans="1:2" s="1203" customFormat="1">
      <c r="A16" s="1201" t="s">
        <v>532</v>
      </c>
      <c r="B16" s="1202" t="str">
        <f>'预评函-1'!A21</f>
        <v>——</v>
      </c>
    </row>
    <row r="17" spans="1:2" s="1203" customFormat="1">
      <c r="A17" s="1201" t="s">
        <v>533</v>
      </c>
      <c r="B17" s="1202" t="str">
        <f>'预评函-1'!A22</f>
        <v>——</v>
      </c>
    </row>
    <row r="18" spans="1:2" s="1197" customFormat="1" ht="15" thickBot="1">
      <c r="A18" s="1204" t="s">
        <v>534</v>
      </c>
      <c r="B18" s="1205" t="str">
        <f>'预评函-1'!A24</f>
        <v>本次评估采用的主估价方法为收益法和比较法。</v>
      </c>
    </row>
    <row r="19" spans="1:2" s="1200" customFormat="1" ht="15" thickTop="1">
      <c r="A19" s="1198" t="s">
        <v>535</v>
      </c>
      <c r="B19" s="1199"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3" customFormat="1">
      <c r="A20" s="1201" t="s">
        <v>536</v>
      </c>
      <c r="B20" s="1202" t="e">
        <f ca="1">'预评函-2'!D5</f>
        <v>#REF!</v>
      </c>
    </row>
    <row r="21" spans="1:2" s="1203" customFormat="1">
      <c r="A21" s="1201" t="s">
        <v>537</v>
      </c>
      <c r="B21" s="1202" t="e">
        <f ca="1">'预评函-2'!D7</f>
        <v>#REF!</v>
      </c>
    </row>
    <row r="22" spans="1:2" s="1203" customFormat="1">
      <c r="A22" s="1201" t="s">
        <v>538</v>
      </c>
      <c r="B22" s="1202" t="e">
        <f ca="1">'预评函-2'!D6</f>
        <v>#REF!</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t="e">
        <f ca="1">'预评函-2'!D13</f>
        <v>#REF!</v>
      </c>
    </row>
    <row r="31" spans="1:2" s="1203" customFormat="1">
      <c r="A31" s="1201" t="s">
        <v>576</v>
      </c>
      <c r="B31" s="1202" t="e">
        <f ca="1">'预评函-2'!D15</f>
        <v>#REF!</v>
      </c>
    </row>
    <row r="32" spans="1:2" s="1203" customFormat="1">
      <c r="A32" s="1201" t="s">
        <v>543</v>
      </c>
      <c r="B32" s="1202" t="e">
        <f ca="1">'预评函-2'!D14</f>
        <v>#REF!</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162.94</v>
      </c>
    </row>
    <row r="44" spans="1:2" s="1203" customFormat="1">
      <c r="A44" s="1201" t="s">
        <v>575</v>
      </c>
      <c r="B44" s="1202" t="str">
        <f>'预评函-3'!C2</f>
        <v>(分摊)土地面积</v>
      </c>
    </row>
    <row r="45" spans="1:2" s="1203" customFormat="1">
      <c r="A45" s="1201" t="s">
        <v>547</v>
      </c>
      <c r="B45" s="1202">
        <f>'预评函-3'!C4</f>
        <v>0</v>
      </c>
    </row>
    <row r="46" spans="1:2" s="1203" customFormat="1">
      <c r="A46" s="1201" t="s">
        <v>573</v>
      </c>
      <c r="B46" s="1202" t="str">
        <f>'预评函-3'!D2</f>
        <v>出让国有建设用地使用权价值</v>
      </c>
    </row>
    <row r="47" spans="1:2" s="1203" customFormat="1">
      <c r="A47" s="1201" t="s">
        <v>548</v>
      </c>
      <c r="B47" s="1202" t="e">
        <f ca="1">'预评函-3'!D4</f>
        <v>#REF!</v>
      </c>
    </row>
    <row r="48" spans="1:2" s="1203" customFormat="1">
      <c r="A48" s="1201" t="s">
        <v>549</v>
      </c>
      <c r="B48" s="1202" t="e">
        <f ca="1">'预评函-3'!E4</f>
        <v>#REF!</v>
      </c>
    </row>
    <row r="49" spans="1:2" s="1203" customFormat="1">
      <c r="A49" s="1201" t="s">
        <v>550</v>
      </c>
      <c r="B49" s="1202" t="e">
        <f ca="1">'预评函-3'!D5</f>
        <v>#REF!</v>
      </c>
    </row>
    <row r="50" spans="1:2" s="1203" customFormat="1">
      <c r="A50" s="1201" t="s">
        <v>574</v>
      </c>
      <c r="B50" s="1202" t="str">
        <f>'预评函-3'!F2</f>
        <v>在建建筑物价值</v>
      </c>
    </row>
    <row r="51" spans="1:2" s="1203" customFormat="1">
      <c r="A51" s="1201" t="s">
        <v>551</v>
      </c>
      <c r="B51" s="1202" t="e">
        <f ca="1">'预评函-3'!F4</f>
        <v>#REF!</v>
      </c>
    </row>
    <row r="52" spans="1:2" s="1203" customFormat="1">
      <c r="A52" s="1201" t="s">
        <v>552</v>
      </c>
      <c r="B52" s="1202" t="e">
        <f ca="1">'预评函-3'!G4</f>
        <v>#REF!</v>
      </c>
    </row>
    <row r="53" spans="1:2" s="1203" customFormat="1">
      <c r="A53" s="1201" t="s">
        <v>580</v>
      </c>
      <c r="B53" s="1202" t="e">
        <f ca="1">'预评函-3'!F5</f>
        <v>#REF!</v>
      </c>
    </row>
    <row r="54" spans="1:2" s="1203" customFormat="1">
      <c r="A54" s="1201" t="s">
        <v>598</v>
      </c>
      <c r="B54" s="1202" t="str">
        <f>'预评函-3'!A8</f>
        <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
      </c>
    </row>
    <row r="58" spans="1:2" s="1200" customFormat="1" ht="15" thickTop="1">
      <c r="A58" s="1198" t="s">
        <v>553</v>
      </c>
      <c r="B58" s="1199" t="str">
        <f>'预评函-4'!A12</f>
        <v>2.本次评估设定估价对象房地产权属无争议，未被查封或者以其他形式限制其房地产权利，未设定抵押权等他项权利，不涉及第三方权利义务。</v>
      </c>
    </row>
    <row r="59" spans="1:2" s="1203" customFormat="1">
      <c r="A59" s="1201" t="s">
        <v>554</v>
      </c>
      <c r="B59" s="1202" t="str">
        <f>'预评函-4'!A13</f>
        <v>——</v>
      </c>
    </row>
    <row r="60" spans="1:2" s="1203" customFormat="1">
      <c r="A60" s="1201" t="s">
        <v>555</v>
      </c>
      <c r="B60" s="1202" t="str">
        <f>'预评函-4'!A14</f>
        <v>——</v>
      </c>
    </row>
    <row r="61" spans="1:2" s="1203" customFormat="1">
      <c r="A61" s="1201" t="s">
        <v>556</v>
      </c>
      <c r="B61" s="1202" t="str">
        <f>'预评函-4'!A15</f>
        <v>——</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v>
      </c>
    </row>
    <row r="65" spans="1:2" s="1203" customFormat="1">
      <c r="A65" s="1201" t="s">
        <v>559</v>
      </c>
      <c r="B65" s="120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t="str">
        <f>'预评函-4'!A4</f>
        <v>陈颖</v>
      </c>
    </row>
    <row r="71" spans="1:2">
      <c r="A71" s="1201" t="s">
        <v>563</v>
      </c>
      <c r="B71" s="1202">
        <f ca="1">'预评函-4'!B4</f>
        <v>1120060040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F39" sqref="F39:F48"/>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3354</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3340</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3341</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3342</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3343</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3344</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3345</v>
      </c>
    </row>
    <row r="8" spans="1:23">
      <c r="A8" s="1546" t="s">
        <v>1026</v>
      </c>
      <c r="B8" s="1546" t="s">
        <v>1027</v>
      </c>
      <c r="C8" s="1547" t="s">
        <v>319</v>
      </c>
      <c r="F8" s="1548" t="s">
        <v>1028</v>
      </c>
      <c r="H8" s="1548" t="s">
        <v>2578</v>
      </c>
      <c r="I8" s="1548" t="s">
        <v>3346</v>
      </c>
    </row>
    <row r="9" spans="1:23">
      <c r="A9" s="1546" t="s">
        <v>1029</v>
      </c>
      <c r="B9" s="1546" t="s">
        <v>1030</v>
      </c>
      <c r="C9" s="1547" t="s">
        <v>320</v>
      </c>
      <c r="F9" s="1548" t="s">
        <v>1031</v>
      </c>
      <c r="H9" s="1548"/>
      <c r="I9" s="1551" t="s">
        <v>3347</v>
      </c>
    </row>
    <row r="10" spans="1:23">
      <c r="A10" s="1546" t="s">
        <v>1032</v>
      </c>
      <c r="B10" s="1546" t="s">
        <v>1033</v>
      </c>
      <c r="C10" s="1547" t="s">
        <v>321</v>
      </c>
      <c r="F10" s="1548" t="s">
        <v>2579</v>
      </c>
      <c r="I10" s="1551" t="s">
        <v>3348</v>
      </c>
    </row>
    <row r="11" spans="1:23">
      <c r="A11" s="1546" t="s">
        <v>1034</v>
      </c>
      <c r="B11" s="1546" t="s">
        <v>1035</v>
      </c>
      <c r="C11" s="1547" t="s">
        <v>322</v>
      </c>
      <c r="F11" s="1548" t="s">
        <v>13</v>
      </c>
      <c r="I11" s="1551" t="s">
        <v>3349</v>
      </c>
    </row>
    <row r="12" spans="1:23">
      <c r="A12" s="1546" t="s">
        <v>1036</v>
      </c>
      <c r="B12" s="1546" t="s">
        <v>1037</v>
      </c>
      <c r="C12" s="1547" t="s">
        <v>323</v>
      </c>
      <c r="I12" s="1551" t="s">
        <v>3350</v>
      </c>
    </row>
    <row r="13" spans="1:23">
      <c r="A13" s="1546" t="s">
        <v>1038</v>
      </c>
      <c r="B13" s="1546" t="s">
        <v>1039</v>
      </c>
      <c r="C13" s="1547" t="s">
        <v>324</v>
      </c>
      <c r="I13" s="1551" t="s">
        <v>3351</v>
      </c>
    </row>
    <row r="14" spans="1:23">
      <c r="A14" s="1546" t="s">
        <v>1040</v>
      </c>
      <c r="B14" s="1546" t="s">
        <v>1041</v>
      </c>
      <c r="C14" s="1548" t="s">
        <v>13</v>
      </c>
      <c r="I14" s="1551" t="s">
        <v>3352</v>
      </c>
    </row>
    <row r="15" spans="1:23">
      <c r="A15" s="1546" t="s">
        <v>1042</v>
      </c>
      <c r="B15" s="1546" t="s">
        <v>1043</v>
      </c>
      <c r="C15" s="1547"/>
      <c r="I15" s="1551" t="s">
        <v>3353</v>
      </c>
    </row>
    <row r="16" spans="1:23">
      <c r="A16" s="1546" t="s">
        <v>1044</v>
      </c>
      <c r="B16" s="1546" t="s">
        <v>312</v>
      </c>
      <c r="C16" s="1547"/>
    </row>
    <row r="17" spans="1:3">
      <c r="A17" s="1546" t="s">
        <v>1045</v>
      </c>
      <c r="B17" s="1546" t="s">
        <v>2291</v>
      </c>
      <c r="C17" s="1547"/>
    </row>
    <row r="18" spans="1:3">
      <c r="A18" s="1546" t="s">
        <v>1046</v>
      </c>
      <c r="B18" s="1546" t="s">
        <v>2434</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50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15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01"/>
      <c r="B54" s="1554" t="s">
        <v>385</v>
      </c>
      <c r="C54" s="1551" t="s">
        <v>583</v>
      </c>
    </row>
    <row r="55" spans="1:4">
      <c r="A55" s="3501"/>
      <c r="B55" s="1554" t="s">
        <v>386</v>
      </c>
      <c r="C55" s="1551" t="s">
        <v>584</v>
      </c>
    </row>
    <row r="56" spans="1:4">
      <c r="A56" s="3501"/>
      <c r="B56" s="1554" t="s">
        <v>387</v>
      </c>
      <c r="C56" s="1551" t="s">
        <v>588</v>
      </c>
    </row>
    <row r="57" spans="1:4">
      <c r="A57" s="350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workbookViewId="0">
      <selection activeCell="F39" sqref="F39:F48"/>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02" t="s">
        <v>2581</v>
      </c>
      <c r="J2" s="3502"/>
      <c r="K2" s="3502"/>
      <c r="L2" s="3502"/>
      <c r="M2" s="3502"/>
      <c r="N2" s="3502"/>
      <c r="O2" s="3502"/>
      <c r="P2" s="3502"/>
      <c r="Q2" s="3502"/>
      <c r="R2" s="3502"/>
    </row>
    <row r="3" spans="1:18">
      <c r="A3" s="3018" t="s">
        <v>2502</v>
      </c>
      <c r="B3" s="3019">
        <f>项目基本情况!D3</f>
        <v>45153</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3.34</v>
      </c>
      <c r="D5" s="3023">
        <f>IF(ISERROR(ROUND(POWER(1+E5,A5-C5)*(POWER(1+E5,C5)-1)/(POWER(1+E5,A5)-1),3)),0,ROUND(POWER(1+E5,A5-C5)*(POWER(1+E5,C5)-1)/(POWER(1+E5,A5)-1),4))</f>
        <v>0.15509999999999999</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13.35</v>
      </c>
      <c r="D6" s="3023">
        <f>IF(ISERROR(ROUND(POWER(1+E6,A6-C6)*(POWER(1+E6,C6)-1)/(POWER(1+E6,A6)-1),3)),0,ROUND(POWER(1+E6,A6-C6)*(POWER(1+E6,C6)-1)/(POWER(1+E6,A6)-1),4))</f>
        <v>0.47439999999999999</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33.36</v>
      </c>
      <c r="D7" s="3023">
        <f>IF(ISERROR(ROUND(POWER(1+E7,A7-C7)*(POWER(1+E7,C7)-1)/(POWER(1+E7,A7)-1),3)),0,ROUND(POWER(1+E7,A7-C7)*(POWER(1+E7,C7)-1)/(POWER(1+E7,A7)-1),4))</f>
        <v>0.77980000000000005</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80" zoomScaleNormal="100" zoomScaleSheetLayoutView="80" workbookViewId="0">
      <selection activeCell="C14" sqref="C14"/>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11" t="str">
        <f>IF(B10="北京市","北京市",C10)&amp;F10&amp;IF(结果表!G1="在建","出让国有建设用地使用权及在建建筑物",IF(结果表!G1="土地","出让国有建设用地使用权",))&amp;B9&amp;"预评估"</f>
        <v>北京市房地产市场价值预评估</v>
      </c>
      <c r="C1" s="3512"/>
      <c r="D1" s="3512"/>
      <c r="E1" s="3512"/>
      <c r="F1" s="3512"/>
      <c r="G1" s="3512"/>
      <c r="H1" s="3512"/>
      <c r="I1" s="3513"/>
      <c r="J1" s="2470"/>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北京市房地产市场价值</v>
      </c>
      <c r="T1" s="1745"/>
      <c r="U1" s="1745"/>
      <c r="V1" s="1745"/>
      <c r="W1" s="1745"/>
      <c r="X1" s="1745"/>
      <c r="Y1" s="1745"/>
      <c r="Z1" s="1745"/>
      <c r="AA1" s="1745"/>
      <c r="AB1" s="1745"/>
    </row>
    <row r="2" spans="1:30">
      <c r="A2" s="2367" t="s">
        <v>2169</v>
      </c>
      <c r="B2" s="2371"/>
      <c r="C2" s="2372"/>
      <c r="D2" s="2668"/>
      <c r="E2" s="2660"/>
      <c r="F2" s="2660"/>
      <c r="G2" s="2661"/>
      <c r="H2" s="2661"/>
      <c r="I2" s="2661"/>
      <c r="J2" s="2470"/>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c r="C3" s="2374" t="s">
        <v>2171</v>
      </c>
      <c r="D3" s="2373">
        <v>45153</v>
      </c>
      <c r="E3" s="2661"/>
      <c r="F3" s="2661"/>
      <c r="G3" s="2661"/>
      <c r="H3" s="2661"/>
      <c r="I3" s="2661"/>
      <c r="J3" s="2470"/>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t="s">
        <v>3377</v>
      </c>
      <c r="C4" s="2376">
        <f ca="1">SUMIF(注册房地产估价师,B4,估价师及机构信息!B3:B24)</f>
        <v>1120060040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9"/>
      <c r="K4" s="2378" t="str">
        <f ca="1">CONCATENATE(B4,"（注册号：",C4,")、",D4,"（注册号：",E4,")")</f>
        <v>陈颖（注册号：1120060040)、（注册号：0)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2380"/>
      <c r="C5" s="2381"/>
      <c r="D5" s="2382"/>
      <c r="E5" s="2662"/>
      <c r="F5" s="2662"/>
      <c r="G5" s="2662"/>
      <c r="H5" s="2662"/>
      <c r="I5" s="2662"/>
      <c r="J5" s="2439"/>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3" t="s">
        <v>2174</v>
      </c>
      <c r="B6" s="2384"/>
      <c r="C6" s="2385"/>
      <c r="D6" s="2386"/>
      <c r="E6" s="2660"/>
      <c r="F6" s="2662"/>
      <c r="G6" s="2662"/>
      <c r="H6" s="2662"/>
      <c r="I6" s="2662"/>
      <c r="J6" s="2439"/>
      <c r="K6" s="2613" t="str">
        <f>IF(COUNTIF(B6,"*上海银行*"),"上海银行","")</f>
        <v/>
      </c>
      <c r="L6" s="2611"/>
      <c r="M6" s="2611"/>
      <c r="N6" s="2439"/>
      <c r="O6" s="2450"/>
      <c r="P6" s="2439"/>
      <c r="Q6" s="2439"/>
      <c r="R6" s="2439"/>
    </row>
    <row r="7" spans="1:30">
      <c r="A7" s="2383" t="s">
        <v>2175</v>
      </c>
      <c r="B7" s="2387"/>
      <c r="C7" s="2385"/>
      <c r="D7" s="2386"/>
      <c r="E7" s="2660"/>
      <c r="F7" s="2662"/>
      <c r="G7" s="2662"/>
      <c r="H7" s="2662"/>
      <c r="I7" s="2662"/>
      <c r="J7" s="2439"/>
      <c r="K7" s="2614"/>
      <c r="L7" s="2611"/>
      <c r="M7" s="2611"/>
      <c r="N7" s="2439"/>
      <c r="O7" s="2450"/>
      <c r="P7" s="2439"/>
      <c r="Q7" s="2439"/>
      <c r="R7" s="2439"/>
    </row>
    <row r="8" spans="1:30">
      <c r="A8" s="2388" t="s">
        <v>2176</v>
      </c>
      <c r="B8" s="2389" t="s">
        <v>3378</v>
      </c>
      <c r="C8" s="2390"/>
      <c r="D8" s="3514" t="s">
        <v>2177</v>
      </c>
      <c r="E8" s="2391"/>
      <c r="F8" s="2392"/>
      <c r="G8" s="2661"/>
      <c r="H8" s="2661"/>
      <c r="I8" s="2661"/>
      <c r="J8" s="2439"/>
      <c r="K8" s="2612"/>
      <c r="L8" s="2611"/>
      <c r="M8" s="2611"/>
      <c r="N8" s="2439"/>
      <c r="O8" s="2450"/>
      <c r="P8" s="2439"/>
      <c r="Q8" s="2439"/>
      <c r="R8" s="2439"/>
    </row>
    <row r="9" spans="1:30" ht="13.5" thickBot="1">
      <c r="A9" s="2393" t="s">
        <v>2178</v>
      </c>
      <c r="B9" s="2394" t="s">
        <v>3379</v>
      </c>
      <c r="C9" s="2395"/>
      <c r="D9" s="3515"/>
      <c r="E9" s="2394"/>
      <c r="F9" s="2396"/>
      <c r="G9" s="2663"/>
      <c r="H9" s="2663"/>
      <c r="I9" s="2663"/>
      <c r="J9" s="2439"/>
      <c r="K9" s="2614"/>
      <c r="L9" s="2611"/>
      <c r="M9" s="2611"/>
      <c r="N9" s="2439"/>
      <c r="O9" s="2450"/>
      <c r="P9" s="2439"/>
      <c r="Q9" s="2439"/>
      <c r="R9" s="2439"/>
    </row>
    <row r="10" spans="1:30" ht="13.5" thickTop="1">
      <c r="A10" s="2397" t="s">
        <v>2179</v>
      </c>
      <c r="B10" s="2398" t="s">
        <v>3380</v>
      </c>
      <c r="C10" s="2399"/>
      <c r="D10" s="2382"/>
      <c r="E10" s="2400" t="s">
        <v>2180</v>
      </c>
      <c r="F10" s="2664"/>
      <c r="G10" s="2665"/>
      <c r="H10" s="2666"/>
      <c r="I10" s="2667"/>
      <c r="J10" s="2439"/>
      <c r="K10" s="2614"/>
      <c r="L10" s="2611"/>
      <c r="M10" s="2611"/>
      <c r="N10" s="2439"/>
      <c r="O10" s="2450"/>
      <c r="P10" s="2439"/>
      <c r="Q10" s="2439"/>
      <c r="R10" s="2439"/>
    </row>
    <row r="11" spans="1:30">
      <c r="A11" s="2401" t="s">
        <v>2181</v>
      </c>
      <c r="B11" s="2402" t="s">
        <v>3381</v>
      </c>
      <c r="C11" s="2403"/>
      <c r="D11" s="2404"/>
      <c r="E11" s="2370"/>
      <c r="F11" s="2370"/>
      <c r="G11" s="2370"/>
      <c r="H11" s="2370"/>
      <c r="I11" s="2370"/>
      <c r="J11" s="3059"/>
      <c r="K11" s="3058"/>
      <c r="L11" s="2611"/>
      <c r="M11" s="2611"/>
      <c r="N11" s="2439"/>
      <c r="O11" s="2450"/>
      <c r="P11" s="2439"/>
      <c r="Q11" s="2439"/>
      <c r="R11" s="2439"/>
    </row>
    <row r="12" spans="1:30">
      <c r="A12" s="2405" t="s">
        <v>2182</v>
      </c>
      <c r="B12" s="323" t="s">
        <v>2183</v>
      </c>
      <c r="C12" s="2406" t="s">
        <v>2184</v>
      </c>
      <c r="D12" s="2406" t="s">
        <v>2185</v>
      </c>
      <c r="E12" s="2406" t="s">
        <v>2186</v>
      </c>
      <c r="F12" s="2406" t="s">
        <v>2187</v>
      </c>
      <c r="G12" s="2406" t="s">
        <v>2188</v>
      </c>
      <c r="H12" s="2406" t="s">
        <v>2189</v>
      </c>
      <c r="I12" s="3057" t="s">
        <v>2577</v>
      </c>
      <c r="J12" s="3060"/>
      <c r="K12" s="2611"/>
      <c r="L12" s="2611"/>
      <c r="M12" s="2439"/>
      <c r="N12" s="2450"/>
      <c r="O12" s="2439"/>
      <c r="P12" s="2439"/>
      <c r="Q12" s="2439"/>
      <c r="AD12" s="1745"/>
    </row>
    <row r="13" spans="1:30">
      <c r="A13" s="3421" t="s">
        <v>3335</v>
      </c>
      <c r="B13" s="2407" t="s">
        <v>2190</v>
      </c>
      <c r="C13" s="856">
        <v>63406</v>
      </c>
      <c r="D13" s="856"/>
      <c r="E13" s="856"/>
      <c r="F13" s="856"/>
      <c r="G13" s="856"/>
      <c r="H13" s="856"/>
      <c r="I13" s="856"/>
      <c r="J13" s="3060"/>
      <c r="K13" s="2611"/>
      <c r="L13" s="2611"/>
      <c r="M13" s="2439"/>
      <c r="N13" s="2450"/>
      <c r="O13" s="2439"/>
      <c r="P13" s="2439"/>
      <c r="Q13" s="2439"/>
      <c r="AD13" s="1745"/>
    </row>
    <row r="14" spans="1:30">
      <c r="A14" s="1081"/>
      <c r="B14" s="2407" t="s">
        <v>2191</v>
      </c>
      <c r="C14" s="2408">
        <v>70</v>
      </c>
      <c r="D14" s="2408"/>
      <c r="E14" s="2408"/>
      <c r="F14" s="2408"/>
      <c r="G14" s="2408"/>
      <c r="H14" s="2408"/>
      <c r="I14" s="2408"/>
      <c r="J14" s="3061"/>
      <c r="K14" s="2611"/>
      <c r="L14" s="2611"/>
      <c r="M14" s="2439"/>
      <c r="N14" s="2450"/>
      <c r="O14" s="2439"/>
      <c r="P14" s="2439"/>
      <c r="Q14" s="2439"/>
      <c r="AD14" s="1745"/>
    </row>
    <row r="15" spans="1:30">
      <c r="A15" s="320"/>
      <c r="B15" s="2409" t="s">
        <v>2192</v>
      </c>
      <c r="C15" s="2410">
        <f>IF(A13="出让",IF(C13="","",ROUNDDOWN(MIN((C13-$D$3)/365,C14),2)),C14)</f>
        <v>50</v>
      </c>
      <c r="D15" s="2410" t="str">
        <f>IF(A13="出让",IF(D13="","",ROUNDDOWN(MIN((D13-$D$3)/365,D14),2)),D14)</f>
        <v/>
      </c>
      <c r="E15" s="2410" t="str">
        <f>IF(A13="出让",IF(E13="","",ROUNDDOWN(MIN((E13-$D$3)/365,E14),2)),E14)</f>
        <v/>
      </c>
      <c r="F15" s="2410" t="str">
        <f>IF(A13="出让",IF(F13="","",ROUNDDOWN(MIN((F13-$D$3)/365,F14),2)),F14)</f>
        <v/>
      </c>
      <c r="G15" s="2410" t="str">
        <f>IF(A13="出让",IF(G13="","",ROUNDDOWN(MIN((G13-$D$3)/365,G14),2)),G14)</f>
        <v/>
      </c>
      <c r="H15" s="2410" t="str">
        <f>IF(A13="出让",IF(H13="","",ROUNDDOWN(MIN((H13-$D$3)/365,H14),2)),H14)</f>
        <v/>
      </c>
      <c r="I15" s="2410" t="str">
        <f>IF(A13="出让",IF(I13="","",ROUNDDOWN(MIN((I13-$D$3)/365,I14),2)),I14)</f>
        <v/>
      </c>
      <c r="J15" s="3062"/>
      <c r="K15" s="2451"/>
      <c r="L15" s="2451"/>
      <c r="M15" s="2507"/>
      <c r="N15" s="2451"/>
      <c r="O15" s="2507"/>
      <c r="P15" s="2439"/>
      <c r="Q15" s="2439"/>
      <c r="AD15" s="1745"/>
    </row>
    <row r="16" spans="1:30">
      <c r="A16" s="2400" t="s">
        <v>2193</v>
      </c>
      <c r="B16" s="3521"/>
      <c r="C16" s="3522"/>
      <c r="D16" s="3523"/>
      <c r="E16" s="2413" t="s">
        <v>2194</v>
      </c>
      <c r="F16" s="3524"/>
      <c r="G16" s="3525"/>
      <c r="H16" s="3525"/>
      <c r="I16" s="3526"/>
      <c r="J16" s="2439"/>
      <c r="K16" s="2615"/>
      <c r="L16" s="2451"/>
      <c r="M16" s="2451"/>
      <c r="N16" s="2507"/>
      <c r="O16" s="2451"/>
      <c r="P16" s="2507"/>
      <c r="Q16" s="2439"/>
      <c r="R16" s="2439"/>
    </row>
    <row r="17" spans="1:28">
      <c r="A17" s="313" t="s">
        <v>2195</v>
      </c>
      <c r="B17" s="302" t="s">
        <v>2196</v>
      </c>
      <c r="C17" s="8">
        <f>'数据-汇总表'!E3</f>
        <v>162.94</v>
      </c>
      <c r="D17" s="2322" t="s">
        <v>2197</v>
      </c>
      <c r="E17" s="3527" t="s">
        <v>2198</v>
      </c>
      <c r="F17" s="3528"/>
      <c r="G17" s="3528"/>
      <c r="H17" s="3528"/>
      <c r="I17" s="3529"/>
      <c r="J17" s="2439"/>
      <c r="K17" s="2616"/>
      <c r="L17" s="2451"/>
      <c r="M17" s="2451"/>
      <c r="N17" s="2507"/>
      <c r="O17" s="2451"/>
      <c r="P17" s="2507"/>
      <c r="Q17" s="2439"/>
      <c r="R17" s="2439"/>
      <c r="S17" s="2439"/>
      <c r="T17" s="2439"/>
      <c r="U17" s="2439"/>
      <c r="V17" s="2439"/>
    </row>
    <row r="18" spans="1:28" ht="24.75" thickBot="1">
      <c r="A18" s="2414" t="s">
        <v>2199</v>
      </c>
      <c r="B18" s="1090" t="s">
        <v>2200</v>
      </c>
      <c r="C18" s="2415">
        <f>'数据-汇总表'!D3</f>
        <v>0</v>
      </c>
      <c r="D18" s="1092" t="s">
        <v>2201</v>
      </c>
      <c r="E18" s="3530" t="s">
        <v>2202</v>
      </c>
      <c r="F18" s="3531"/>
      <c r="G18" s="3531"/>
      <c r="H18" s="3531"/>
      <c r="I18" s="3532"/>
      <c r="J18" s="2439"/>
      <c r="K18" s="2616"/>
      <c r="L18" s="2451"/>
      <c r="M18" s="2451"/>
      <c r="N18" s="2507"/>
      <c r="O18" s="2451"/>
      <c r="P18" s="2507"/>
      <c r="Q18" s="2439"/>
      <c r="R18" s="2439"/>
      <c r="S18" s="2439"/>
      <c r="T18" s="2439"/>
      <c r="U18" s="2439"/>
      <c r="V18" s="2439"/>
    </row>
    <row r="19" spans="1:28" ht="37.5" thickTop="1" thickBot="1">
      <c r="A19" s="327" t="s">
        <v>1055</v>
      </c>
      <c r="B19" s="307" t="s">
        <v>2203</v>
      </c>
      <c r="C19" s="1563"/>
      <c r="D19" s="1564" t="s">
        <v>2204</v>
      </c>
      <c r="E19" s="1565"/>
      <c r="F19" s="1566" t="str">
        <f>IF(AND(C19="是",E19="否"),"是否提供他项权证或相关说明","")</f>
        <v/>
      </c>
      <c r="G19" s="1567"/>
      <c r="H19" s="2662"/>
      <c r="I19" s="2662"/>
      <c r="J19" s="2439"/>
      <c r="K19" s="2614"/>
      <c r="L19" s="2611"/>
      <c r="M19" s="2611"/>
      <c r="N19" s="2507"/>
      <c r="O19" s="2451"/>
      <c r="P19" s="2507"/>
      <c r="Q19" s="2439"/>
      <c r="R19" s="2439"/>
      <c r="S19" s="2439"/>
      <c r="T19" s="2439"/>
      <c r="U19" s="2439"/>
      <c r="V19" s="2439"/>
    </row>
    <row r="20" spans="1:28">
      <c r="A20" s="2630" t="s">
        <v>2205</v>
      </c>
      <c r="B20" s="3517" t="s">
        <v>2206</v>
      </c>
      <c r="C20" s="3518"/>
      <c r="D20" s="3519" t="s">
        <v>2207</v>
      </c>
      <c r="E20" s="3520"/>
      <c r="F20" s="2645" t="s">
        <v>1056</v>
      </c>
      <c r="G20" s="2662"/>
      <c r="H20" s="2662"/>
      <c r="I20" s="2662"/>
      <c r="J20" s="2439"/>
      <c r="K20" s="351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2"/>
      <c r="O20" s="2411"/>
      <c r="P20" s="2412"/>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9"/>
      <c r="K21" s="351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2"/>
      <c r="O21" s="2411"/>
      <c r="P21" s="2412"/>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9"/>
      <c r="K22" s="351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2"/>
      <c r="O22" s="2411"/>
      <c r="P22" s="2412"/>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9"/>
      <c r="K23" s="2617"/>
      <c r="L23" s="2474"/>
      <c r="M23" s="2611"/>
      <c r="N23" s="2507"/>
      <c r="O23" s="2451"/>
      <c r="P23" s="2507"/>
      <c r="Q23" s="2439"/>
      <c r="R23" s="2439"/>
      <c r="S23" s="2439"/>
      <c r="T23" s="2439"/>
      <c r="U23" s="2439"/>
      <c r="V23" s="2439"/>
    </row>
    <row r="24" spans="1:28">
      <c r="A24" s="2635"/>
      <c r="B24" s="2500" t="s">
        <v>1059</v>
      </c>
      <c r="C24" s="2639"/>
      <c r="D24" s="2635" t="s">
        <v>1059</v>
      </c>
      <c r="E24" s="2640"/>
      <c r="F24" s="2661"/>
      <c r="G24" s="2662"/>
      <c r="H24" s="2662"/>
      <c r="I24" s="2662"/>
      <c r="J24" s="2439"/>
      <c r="K24" s="2617"/>
      <c r="L24" s="2474"/>
      <c r="M24" s="2611"/>
      <c r="N24" s="2507"/>
      <c r="O24" s="2451"/>
      <c r="P24" s="2507"/>
      <c r="Q24" s="2439"/>
      <c r="R24" s="2439"/>
      <c r="S24" s="2439"/>
      <c r="T24" s="2439"/>
      <c r="U24" s="2439"/>
      <c r="V24" s="2439"/>
    </row>
    <row r="25" spans="1:28">
      <c r="A25" s="2635"/>
      <c r="B25" s="2500" t="s">
        <v>1060</v>
      </c>
      <c r="C25" s="2639"/>
      <c r="D25" s="2635" t="s">
        <v>1060</v>
      </c>
      <c r="E25" s="2640"/>
      <c r="F25" s="2661"/>
      <c r="G25" s="2662"/>
      <c r="H25" s="2662"/>
      <c r="I25" s="2662"/>
      <c r="J25" s="2439"/>
      <c r="K25" s="2614"/>
      <c r="L25" s="2611"/>
      <c r="M25" s="2611"/>
      <c r="N25" s="2507"/>
      <c r="O25" s="2451"/>
      <c r="P25" s="2507"/>
      <c r="Q25" s="2439"/>
      <c r="R25" s="2439"/>
      <c r="S25" s="2439"/>
      <c r="T25" s="2439"/>
      <c r="U25" s="2439"/>
      <c r="V25" s="2439"/>
    </row>
    <row r="26" spans="1:28" ht="13.5" thickBot="1">
      <c r="A26" s="2641"/>
      <c r="B26" s="2642" t="s">
        <v>1061</v>
      </c>
      <c r="C26" s="2643"/>
      <c r="D26" s="2641" t="s">
        <v>1061</v>
      </c>
      <c r="E26" s="2644"/>
      <c r="F26" s="2663"/>
      <c r="G26" s="2663"/>
      <c r="H26" s="2663"/>
      <c r="I26" s="2663"/>
      <c r="J26" s="2439"/>
      <c r="K26" s="2614"/>
      <c r="L26" s="2611"/>
      <c r="M26" s="2611"/>
      <c r="N26" s="2507"/>
      <c r="O26" s="2451"/>
      <c r="P26" s="2507"/>
      <c r="Q26" s="2439"/>
      <c r="R26" s="2439"/>
      <c r="S26" s="2439"/>
      <c r="T26" s="2439"/>
      <c r="U26" s="2439"/>
      <c r="V26" s="2439"/>
    </row>
    <row r="27" spans="1:28" ht="13.5" thickTop="1">
      <c r="A27" s="3504" t="s">
        <v>2214</v>
      </c>
      <c r="B27" s="320" t="s">
        <v>2215</v>
      </c>
      <c r="C27" s="2416"/>
      <c r="D27" s="2417"/>
      <c r="E27" s="2662"/>
      <c r="F27" s="2662"/>
      <c r="G27" s="2662"/>
      <c r="H27" s="2662"/>
      <c r="I27" s="2662"/>
      <c r="J27" s="2439"/>
      <c r="K27" s="2615"/>
      <c r="L27" s="2451"/>
      <c r="M27" s="2451"/>
      <c r="N27" s="2507"/>
      <c r="O27" s="2451"/>
      <c r="P27" s="2507"/>
      <c r="Q27" s="2439"/>
      <c r="R27" s="2439"/>
      <c r="S27" s="2439"/>
      <c r="T27" s="2439"/>
      <c r="U27" s="2439"/>
      <c r="V27" s="2439"/>
    </row>
    <row r="28" spans="1:28">
      <c r="A28" s="3504"/>
      <c r="B28" s="302" t="s">
        <v>2216</v>
      </c>
      <c r="C28" s="2418"/>
      <c r="D28" s="2419"/>
      <c r="E28" s="2662"/>
      <c r="F28" s="2662"/>
      <c r="G28" s="2662"/>
      <c r="H28" s="2662"/>
      <c r="I28" s="2662"/>
      <c r="J28" s="2439"/>
      <c r="K28" s="2614"/>
      <c r="L28" s="2611"/>
      <c r="M28" s="2611"/>
      <c r="N28" s="2439"/>
      <c r="O28" s="2450"/>
      <c r="P28" s="2439"/>
      <c r="Q28" s="2439"/>
      <c r="R28" s="2439"/>
      <c r="S28" s="2439"/>
      <c r="T28" s="2439"/>
      <c r="U28" s="2439"/>
      <c r="V28" s="2439"/>
    </row>
    <row r="29" spans="1:28">
      <c r="A29" s="3504"/>
      <c r="B29" s="302" t="s">
        <v>2217</v>
      </c>
      <c r="C29" s="2420"/>
      <c r="D29" s="2421"/>
      <c r="E29" s="2662"/>
      <c r="F29" s="2662"/>
      <c r="G29" s="2662"/>
      <c r="H29" s="2662"/>
      <c r="I29" s="2662"/>
      <c r="J29" s="2439"/>
      <c r="K29" s="2614"/>
      <c r="L29" s="2611"/>
      <c r="M29" s="2611"/>
      <c r="N29" s="2439"/>
      <c r="O29" s="2450"/>
      <c r="P29" s="2439"/>
      <c r="Q29" s="2439"/>
      <c r="R29" s="2439"/>
      <c r="S29" s="2439"/>
      <c r="T29" s="2439"/>
      <c r="U29" s="2439"/>
      <c r="V29" s="2439"/>
    </row>
    <row r="30" spans="1:28">
      <c r="A30" s="3505"/>
      <c r="B30" s="302" t="s">
        <v>2218</v>
      </c>
      <c r="C30" s="3506"/>
      <c r="D30" s="3507"/>
      <c r="E30" s="2662"/>
      <c r="F30" s="2662"/>
      <c r="G30" s="2662"/>
      <c r="H30" s="2662"/>
      <c r="I30" s="2662"/>
      <c r="J30" s="2439"/>
      <c r="K30" s="2614"/>
      <c r="L30" s="2611"/>
      <c r="M30" s="2611"/>
      <c r="N30" s="2439"/>
      <c r="O30" s="2450"/>
      <c r="P30" s="2439"/>
      <c r="Q30" s="2439"/>
      <c r="R30" s="2439"/>
      <c r="S30" s="2439"/>
      <c r="T30" s="2439"/>
      <c r="U30" s="2439"/>
      <c r="V30" s="2439"/>
    </row>
    <row r="31" spans="1:28">
      <c r="A31" s="3508" t="s">
        <v>2219</v>
      </c>
      <c r="B31" s="2422"/>
      <c r="C31" s="2323" t="str">
        <f>IF(B31="现房","成新及维护状况正常否",IF(B31="在建","工程状态是否正常",IF(B31="土地","是否闲置","-")))</f>
        <v>-</v>
      </c>
      <c r="D31" s="1373"/>
      <c r="E31" s="2423"/>
      <c r="F31" s="2662"/>
      <c r="G31" s="2662"/>
      <c r="H31" s="2662"/>
      <c r="I31" s="2662"/>
      <c r="J31" s="2439"/>
      <c r="K31" s="2613"/>
      <c r="L31" s="2611"/>
      <c r="M31" s="2611"/>
      <c r="N31" s="2439"/>
      <c r="O31" s="2450"/>
      <c r="P31" s="2439"/>
      <c r="Q31" s="2439"/>
      <c r="R31" s="2439"/>
      <c r="S31" s="2439"/>
      <c r="T31" s="2439"/>
      <c r="U31" s="2439"/>
      <c r="V31" s="2439"/>
    </row>
    <row r="32" spans="1:28">
      <c r="A32" s="3509"/>
      <c r="B32" s="2422"/>
      <c r="C32" s="2323" t="str">
        <f>IF(B32="现房","成新及维护状况是否正常",IF(B32="在建","工程状态是否正常",IF(B32="土地","是否闲置","-")))</f>
        <v>-</v>
      </c>
      <c r="D32" s="1373"/>
      <c r="E32" s="2423"/>
      <c r="F32" s="2662"/>
      <c r="G32" s="2662"/>
      <c r="H32" s="2662"/>
      <c r="I32" s="2662"/>
      <c r="J32" s="2439"/>
      <c r="K32" s="2614"/>
      <c r="L32" s="2611"/>
      <c r="M32" s="2611"/>
      <c r="N32" s="2439"/>
      <c r="O32" s="2450"/>
      <c r="P32" s="2439"/>
      <c r="Q32" s="2439"/>
      <c r="R32" s="2439"/>
      <c r="S32" s="2439"/>
      <c r="T32" s="2439"/>
      <c r="U32" s="2439"/>
      <c r="V32" s="2439"/>
    </row>
    <row r="33" spans="1:30">
      <c r="A33" s="3509"/>
      <c r="B33" s="2425"/>
      <c r="C33" s="1590" t="str">
        <f>IF(B33="现房","成新及维护状况是否正常",IF(B33="在建","工程状态是否正常",IF(B33="土地","是否闲置","-")))</f>
        <v>-</v>
      </c>
      <c r="D33" s="1365"/>
      <c r="E33" s="2426"/>
      <c r="F33" s="2662"/>
      <c r="G33" s="2662"/>
      <c r="H33" s="2662"/>
      <c r="I33" s="2662"/>
      <c r="J33" s="2439"/>
      <c r="K33" s="2614"/>
      <c r="L33" s="2611"/>
      <c r="M33" s="2611"/>
      <c r="N33" s="2439"/>
      <c r="O33" s="2450"/>
      <c r="P33" s="2439"/>
      <c r="Q33" s="2439"/>
      <c r="R33" s="2439"/>
      <c r="S33" s="2439"/>
      <c r="T33" s="2439"/>
      <c r="U33" s="2439"/>
      <c r="V33" s="2439"/>
    </row>
    <row r="34" spans="1:30">
      <c r="A34" s="302" t="s">
        <v>2220</v>
      </c>
      <c r="B34" s="2026"/>
      <c r="C34" s="2026"/>
      <c r="D34" s="2026"/>
      <c r="E34" s="2026"/>
      <c r="F34" s="2026"/>
      <c r="G34" s="2026"/>
      <c r="H34" s="2026"/>
      <c r="I34" s="2662"/>
      <c r="J34" s="2439"/>
      <c r="K34" s="2427">
        <f>COUNTIF(B34:H34,"——")</f>
        <v>0</v>
      </c>
      <c r="L34" s="323" t="s">
        <v>2221</v>
      </c>
      <c r="M34" s="323" t="s">
        <v>2222</v>
      </c>
      <c r="N34" s="323" t="s">
        <v>2223</v>
      </c>
      <c r="O34" s="323" t="s">
        <v>2224</v>
      </c>
      <c r="P34" s="323" t="s">
        <v>2225</v>
      </c>
      <c r="Q34" s="323" t="s">
        <v>2226</v>
      </c>
      <c r="R34" s="323" t="s">
        <v>2227</v>
      </c>
      <c r="S34" s="3503" t="s">
        <v>2228</v>
      </c>
      <c r="T34" s="2428" t="str">
        <f>NUMBERSTRING(7-K34,1)&amp;"通"</f>
        <v>七通</v>
      </c>
      <c r="U34" s="2439"/>
      <c r="V34" s="2439"/>
    </row>
    <row r="35" spans="1:30">
      <c r="A35" s="2429"/>
      <c r="B35" s="3510" t="s">
        <v>2229</v>
      </c>
      <c r="C35" s="3510"/>
      <c r="D35" s="3510"/>
      <c r="E35" s="3510"/>
      <c r="F35" s="664">
        <f>C10</f>
        <v>0</v>
      </c>
      <c r="G35" s="2662"/>
      <c r="H35" s="2662"/>
      <c r="I35" s="2662"/>
      <c r="J35" s="2439"/>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03"/>
      <c r="T35" s="329" t="str">
        <f>IF(T34="一通",L35,IF(T34="二通",M35,IF(T34="三通",N35,IF(T34="四通",O35,IF(T34="五通",P35,IF(T34="六通",Q35,R35))))))</f>
        <v>、、、、、、</v>
      </c>
      <c r="U35" s="2439"/>
      <c r="V35" s="2439"/>
    </row>
    <row r="36" spans="1:30">
      <c r="A36" s="2430"/>
      <c r="B36" s="664" t="s">
        <v>2185</v>
      </c>
      <c r="C36" s="664" t="s">
        <v>2186</v>
      </c>
      <c r="D36" s="664" t="s">
        <v>2184</v>
      </c>
      <c r="E36" s="664" t="s">
        <v>2189</v>
      </c>
      <c r="F36" s="3063" t="s">
        <v>2580</v>
      </c>
      <c r="G36" s="2662"/>
      <c r="H36" s="2662"/>
      <c r="I36" s="2662"/>
      <c r="J36" s="2439"/>
      <c r="K36" s="2614"/>
      <c r="L36" s="2611"/>
      <c r="M36" s="2611"/>
      <c r="N36" s="2439"/>
      <c r="O36" s="2450"/>
      <c r="P36" s="2439"/>
      <c r="Q36" s="2439"/>
      <c r="R36" s="2439"/>
      <c r="S36" s="2439"/>
      <c r="T36" s="2439"/>
      <c r="U36" s="2439"/>
      <c r="V36" s="2439"/>
    </row>
    <row r="37" spans="1:30">
      <c r="A37" s="2628" t="s">
        <v>2230</v>
      </c>
      <c r="B37" s="2431"/>
      <c r="C37" s="2431"/>
      <c r="D37" s="2431"/>
      <c r="E37" s="2431"/>
      <c r="F37" s="2431"/>
      <c r="G37" s="2662"/>
      <c r="H37" s="2662"/>
      <c r="I37" s="2662"/>
      <c r="J37" s="2439"/>
      <c r="K37" s="2614"/>
      <c r="L37" s="2611"/>
      <c r="M37" s="2611"/>
      <c r="N37" s="2439"/>
      <c r="O37" s="2450"/>
      <c r="P37" s="2439"/>
      <c r="Q37" s="2439"/>
      <c r="R37" s="2439"/>
      <c r="S37" s="2439"/>
      <c r="T37" s="2439"/>
      <c r="U37" s="2439"/>
      <c r="V37" s="2439"/>
    </row>
    <row r="38" spans="1:30" ht="13.5" thickBot="1">
      <c r="A38" s="2629" t="s">
        <v>2231</v>
      </c>
      <c r="B38" s="2432"/>
      <c r="C38" s="2432"/>
      <c r="D38" s="2432"/>
      <c r="E38" s="2432"/>
      <c r="F38" s="2432"/>
      <c r="G38" s="2663"/>
      <c r="H38" s="2663"/>
      <c r="I38" s="2663"/>
      <c r="J38" s="2439"/>
      <c r="K38" s="2614"/>
      <c r="L38" s="2611"/>
      <c r="M38" s="2611"/>
      <c r="N38" s="2439"/>
      <c r="O38" s="2450"/>
      <c r="P38" s="2439"/>
      <c r="Q38" s="2439"/>
      <c r="R38" s="2439"/>
      <c r="S38" s="2439"/>
      <c r="T38" s="2439"/>
      <c r="U38" s="2439"/>
      <c r="V38" s="2439"/>
    </row>
    <row r="39" spans="1:30" s="2435" customFormat="1" ht="14.25" thickTop="1" thickBot="1">
      <c r="A39" s="2433" t="s">
        <v>2232</v>
      </c>
      <c r="B39" s="2434"/>
      <c r="C39" s="2434"/>
      <c r="D39" s="2434"/>
      <c r="E39" s="2434"/>
      <c r="F39" s="2434"/>
      <c r="G39" s="2434"/>
      <c r="H39" s="2434"/>
      <c r="I39" s="2434"/>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51"/>
      <c r="M40" s="2451"/>
      <c r="N40" s="2507"/>
      <c r="O40" s="2451"/>
      <c r="P40" s="2439"/>
      <c r="Q40" s="2439"/>
      <c r="R40" s="2439"/>
      <c r="S40" s="2439"/>
      <c r="T40" s="2439"/>
      <c r="U40" s="2439"/>
      <c r="V40" s="2439"/>
    </row>
    <row r="41" spans="1:30">
      <c r="A41" s="2436" t="s">
        <v>2233</v>
      </c>
      <c r="B41" s="1757"/>
      <c r="C41" s="1373"/>
      <c r="D41" s="2370"/>
      <c r="E41" s="2370"/>
      <c r="F41" s="2370"/>
      <c r="G41" s="2370"/>
      <c r="H41" s="2370"/>
      <c r="I41" s="1576"/>
      <c r="J41" s="2439"/>
      <c r="K41" s="2614"/>
      <c r="L41" s="2611"/>
      <c r="M41" s="2611"/>
      <c r="N41" s="2439"/>
      <c r="O41" s="2450"/>
      <c r="P41" s="2439"/>
      <c r="Q41" s="2439"/>
      <c r="R41" s="2439"/>
      <c r="S41" s="2439"/>
      <c r="T41" s="2439"/>
      <c r="U41" s="2439"/>
      <c r="V41" s="2439"/>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9"/>
      <c r="T42" s="2439"/>
      <c r="U42" s="2439"/>
      <c r="V42" s="2439"/>
    </row>
    <row r="43" spans="1:30" s="1743" customFormat="1">
      <c r="A43" s="1570"/>
      <c r="B43" s="1051"/>
      <c r="C43" s="1051"/>
      <c r="D43" s="1051"/>
      <c r="E43" s="1051"/>
      <c r="F43" s="1051"/>
      <c r="G43" s="1051"/>
      <c r="H43" s="1051"/>
      <c r="I43" s="1051"/>
      <c r="J43" s="2437"/>
      <c r="K43" s="2438"/>
      <c r="L43" s="2438"/>
      <c r="M43" s="1051"/>
      <c r="N43" s="1051"/>
      <c r="O43" s="1051"/>
      <c r="P43" s="1051"/>
      <c r="Q43" s="1051"/>
      <c r="R43" s="1051"/>
      <c r="S43" s="2439"/>
      <c r="T43" s="2439"/>
      <c r="U43" s="2439"/>
      <c r="V43" s="2439"/>
    </row>
    <row r="44" spans="1:30" s="1743" customFormat="1">
      <c r="A44" s="1570"/>
      <c r="B44" s="1570"/>
      <c r="C44" s="1051"/>
      <c r="D44" s="1051"/>
      <c r="E44" s="1051"/>
      <c r="F44" s="1051"/>
      <c r="G44" s="1051"/>
      <c r="H44" s="1051"/>
      <c r="I44" s="1051"/>
      <c r="J44" s="2437"/>
      <c r="K44" s="2438"/>
      <c r="L44" s="2438"/>
      <c r="M44" s="1051"/>
      <c r="N44" s="1051"/>
      <c r="O44" s="1051"/>
      <c r="P44" s="1051"/>
      <c r="Q44" s="1051"/>
      <c r="R44" s="1051"/>
      <c r="S44" s="2439"/>
      <c r="T44" s="2439"/>
      <c r="U44" s="2439"/>
      <c r="V44" s="2439"/>
    </row>
    <row r="45" spans="1:30" s="1743" customFormat="1">
      <c r="A45" s="1570"/>
      <c r="B45" s="1570"/>
      <c r="C45" s="1051"/>
      <c r="D45" s="1051"/>
      <c r="E45" s="1051"/>
      <c r="F45" s="1051"/>
      <c r="G45" s="1051"/>
      <c r="H45" s="1051"/>
      <c r="I45" s="1051"/>
      <c r="J45" s="2437"/>
      <c r="K45" s="2438"/>
      <c r="L45" s="2438"/>
      <c r="M45" s="1051"/>
      <c r="N45" s="1051"/>
      <c r="O45" s="1051"/>
      <c r="P45" s="1051"/>
      <c r="Q45" s="1051"/>
      <c r="R45" s="1051"/>
      <c r="S45" s="2439"/>
      <c r="T45" s="2439"/>
      <c r="U45" s="2439"/>
      <c r="V45" s="2439"/>
    </row>
    <row r="46" spans="1:30" s="1743" customFormat="1">
      <c r="A46" s="1570"/>
      <c r="B46" s="1570"/>
      <c r="C46" s="1051"/>
      <c r="D46" s="1051"/>
      <c r="E46" s="1051"/>
      <c r="F46" s="1051"/>
      <c r="G46" s="1051"/>
      <c r="H46" s="1051"/>
      <c r="I46" s="1051"/>
      <c r="J46" s="2437"/>
      <c r="K46" s="2438"/>
      <c r="L46" s="2438"/>
      <c r="M46" s="1051"/>
      <c r="N46" s="1051"/>
      <c r="O46" s="1051"/>
      <c r="P46" s="1051"/>
      <c r="Q46" s="1051"/>
      <c r="R46" s="1051"/>
      <c r="S46" s="2439"/>
      <c r="T46" s="2439"/>
      <c r="U46" s="2439"/>
      <c r="V46" s="2439"/>
    </row>
    <row r="47" spans="1:30" s="1743" customFormat="1">
      <c r="A47" s="1570"/>
      <c r="B47" s="1570"/>
      <c r="C47" s="1051"/>
      <c r="D47" s="1051"/>
      <c r="E47" s="1051"/>
      <c r="F47" s="1051"/>
      <c r="G47" s="1051"/>
      <c r="H47" s="1051"/>
      <c r="I47" s="1051"/>
      <c r="J47" s="2437"/>
      <c r="K47" s="2438"/>
      <c r="L47" s="2438"/>
      <c r="M47" s="1051"/>
      <c r="N47" s="1051"/>
      <c r="O47" s="1051"/>
      <c r="P47" s="1051"/>
      <c r="Q47" s="1051"/>
      <c r="R47" s="1051"/>
      <c r="S47" s="2439"/>
      <c r="T47" s="2439"/>
      <c r="U47" s="2439"/>
      <c r="V47" s="2439"/>
    </row>
    <row r="48" spans="1:30" s="1743" customFormat="1">
      <c r="A48" s="1570"/>
      <c r="B48" s="1570"/>
      <c r="C48" s="1051"/>
      <c r="D48" s="1051"/>
      <c r="E48" s="1051"/>
      <c r="F48" s="1051"/>
      <c r="G48" s="1051"/>
      <c r="H48" s="1051"/>
      <c r="I48" s="1051"/>
      <c r="J48" s="2437"/>
      <c r="K48" s="2438"/>
      <c r="L48" s="2438"/>
      <c r="M48" s="1051"/>
      <c r="N48" s="1051"/>
      <c r="O48" s="1051"/>
      <c r="P48" s="1051"/>
      <c r="Q48" s="1051"/>
      <c r="R48" s="1051"/>
      <c r="S48" s="2439"/>
      <c r="T48" s="2439"/>
      <c r="U48" s="2439"/>
      <c r="V48" s="2439"/>
    </row>
    <row r="49" spans="1:22" s="1743" customFormat="1">
      <c r="A49" s="1570"/>
      <c r="B49" s="1570"/>
      <c r="C49" s="1051"/>
      <c r="D49" s="1051"/>
      <c r="E49" s="1051"/>
      <c r="F49" s="1051"/>
      <c r="G49" s="1051"/>
      <c r="H49" s="1051"/>
      <c r="I49" s="1051"/>
      <c r="J49" s="2437"/>
      <c r="K49" s="2438"/>
      <c r="L49" s="2438"/>
      <c r="M49" s="1051"/>
      <c r="N49" s="1051"/>
      <c r="O49" s="1051"/>
      <c r="P49" s="1051"/>
      <c r="Q49" s="1051"/>
      <c r="R49" s="1051"/>
      <c r="S49" s="2439"/>
      <c r="T49" s="2439"/>
      <c r="U49" s="2439"/>
      <c r="V49" s="2439"/>
    </row>
    <row r="50" spans="1:22" s="1743" customFormat="1">
      <c r="A50" s="1570"/>
      <c r="B50" s="1570"/>
      <c r="C50" s="1051"/>
      <c r="D50" s="1051"/>
      <c r="E50" s="1051"/>
      <c r="F50" s="1051"/>
      <c r="G50" s="1051"/>
      <c r="H50" s="1051"/>
      <c r="I50" s="1051"/>
      <c r="J50" s="2437"/>
      <c r="K50" s="2438"/>
      <c r="L50" s="2438"/>
      <c r="M50" s="1051"/>
      <c r="N50" s="1051"/>
      <c r="O50" s="1051"/>
      <c r="P50" s="1051"/>
      <c r="Q50" s="1051"/>
      <c r="R50" s="1051"/>
      <c r="S50" s="2439"/>
      <c r="T50" s="2439"/>
      <c r="U50" s="2439"/>
      <c r="V50" s="2439"/>
    </row>
    <row r="51" spans="1:22" s="1743" customFormat="1">
      <c r="A51" s="1570"/>
      <c r="B51" s="1570"/>
      <c r="C51" s="1051"/>
      <c r="D51" s="1051"/>
      <c r="E51" s="1051"/>
      <c r="F51" s="1051"/>
      <c r="G51" s="1051"/>
      <c r="H51" s="1051"/>
      <c r="I51" s="1051"/>
      <c r="J51" s="2437"/>
      <c r="K51" s="2438"/>
      <c r="L51" s="2438"/>
      <c r="M51" s="1051"/>
      <c r="N51" s="1051"/>
      <c r="O51" s="1051"/>
      <c r="P51" s="1051"/>
      <c r="Q51" s="1051"/>
      <c r="R51" s="1051"/>
    </row>
    <row r="52" spans="1:22" s="1743" customFormat="1">
      <c r="A52" s="1570"/>
      <c r="B52" s="1570"/>
      <c r="C52" s="1570"/>
      <c r="D52" s="1570"/>
      <c r="E52" s="1570"/>
      <c r="F52" s="1051"/>
      <c r="G52" s="1570"/>
      <c r="H52" s="1570"/>
      <c r="I52" s="1570"/>
      <c r="J52" s="2440"/>
      <c r="K52" s="2438"/>
      <c r="L52" s="2438"/>
      <c r="M52" s="2438"/>
      <c r="N52" s="1570"/>
      <c r="O52" s="1570"/>
      <c r="P52" s="1570"/>
      <c r="Q52" s="1570"/>
      <c r="R52" s="1570"/>
    </row>
    <row r="53" spans="1:22" s="1743" customFormat="1">
      <c r="A53" s="1570"/>
      <c r="B53" s="1570"/>
      <c r="C53" s="1570"/>
      <c r="D53" s="1570"/>
      <c r="E53" s="1570"/>
      <c r="F53" s="1051"/>
      <c r="G53" s="1570"/>
      <c r="H53" s="1570"/>
      <c r="I53" s="1570"/>
      <c r="J53" s="2440"/>
      <c r="K53" s="2438"/>
      <c r="L53" s="2438"/>
      <c r="M53" s="2438"/>
      <c r="N53" s="1570"/>
      <c r="O53" s="1570"/>
      <c r="P53" s="1570"/>
      <c r="Q53" s="1570"/>
      <c r="R53" s="1570"/>
    </row>
    <row r="54" spans="1:22" s="1743" customFormat="1">
      <c r="A54" s="1570"/>
      <c r="B54" s="1570"/>
      <c r="C54" s="1570"/>
      <c r="D54" s="1570"/>
      <c r="E54" s="1570"/>
      <c r="F54" s="1051"/>
      <c r="G54" s="1570"/>
      <c r="H54" s="1570"/>
      <c r="I54" s="1570"/>
      <c r="J54" s="2440"/>
      <c r="K54" s="2438"/>
      <c r="L54" s="2438"/>
      <c r="M54" s="2438"/>
      <c r="N54" s="1570"/>
      <c r="O54" s="1570"/>
      <c r="P54" s="1570"/>
      <c r="Q54" s="1570"/>
      <c r="R54" s="1570"/>
    </row>
    <row r="55" spans="1:22" s="1743" customFormat="1">
      <c r="A55" s="1570"/>
      <c r="B55" s="1570"/>
      <c r="C55" s="1570"/>
      <c r="D55" s="1570"/>
      <c r="E55" s="1570"/>
      <c r="F55" s="1051"/>
      <c r="G55" s="1570"/>
      <c r="H55" s="1570"/>
      <c r="I55" s="1570"/>
      <c r="J55" s="2440"/>
      <c r="K55" s="2438"/>
      <c r="L55" s="2438"/>
      <c r="M55" s="2438"/>
      <c r="N55" s="1570"/>
      <c r="O55" s="1570"/>
      <c r="P55" s="1570"/>
      <c r="Q55" s="1570"/>
      <c r="R55" s="1570"/>
    </row>
    <row r="56" spans="1:22" s="1743" customFormat="1">
      <c r="A56" s="1570"/>
      <c r="B56" s="1570"/>
      <c r="C56" s="1570"/>
      <c r="D56" s="1570"/>
      <c r="E56" s="1570"/>
      <c r="F56" s="1051"/>
      <c r="G56" s="1570"/>
      <c r="H56" s="1570"/>
      <c r="I56" s="1570"/>
      <c r="J56" s="2440"/>
      <c r="K56" s="2438"/>
      <c r="L56" s="2438"/>
      <c r="M56" s="2438"/>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F39" sqref="F39:F48"/>
      <selection pane="topRight" activeCell="F39" sqref="F39:F48"/>
      <selection pane="bottomLeft" activeCell="F39" sqref="F39:F48"/>
      <selection pane="bottomRight" activeCell="F39" sqref="F39:F48"/>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c r="B3" s="11">
        <f>IF(C3="否",G5-AT5,G5)</f>
        <v>162.94</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162.94</v>
      </c>
      <c r="H5" s="13">
        <f t="shared" ref="H5:AT5" si="0">SUM(H13:H656)</f>
        <v>162.94</v>
      </c>
      <c r="I5" s="13">
        <f t="shared" si="0"/>
        <v>162.94</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162.94</v>
      </c>
      <c r="BA5" s="15">
        <f t="shared" si="1"/>
        <v>162.94</v>
      </c>
      <c r="BB5" s="15">
        <f t="shared" si="1"/>
        <v>162.94</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3382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3383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住宅</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c r="D13" s="1625" t="s">
        <v>3384</v>
      </c>
      <c r="E13" s="13">
        <f>IF($C$3="是",ROUND($A$3*G13/$B$3,2),ROUND($A$3*(G13-AT13)/$B$3,2))</f>
        <v>0</v>
      </c>
      <c r="F13" s="29"/>
      <c r="G13" s="30">
        <f>H13+AC13+AT13</f>
        <v>162.94</v>
      </c>
      <c r="H13" s="17">
        <f>SUMIF(I$12:AB$12,"总值",I13:AB13)</f>
        <v>162.94</v>
      </c>
      <c r="I13" s="1626">
        <v>162.94</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f t="shared" si="6"/>
        <v>0</v>
      </c>
      <c r="AY13" s="1349">
        <f>ROUND($AY$6*AZ13/$AZ$5,2)</f>
        <v>0</v>
      </c>
      <c r="AZ13" s="13">
        <f>BA13+BL13</f>
        <v>162.94</v>
      </c>
      <c r="BA13" s="13">
        <f>SUM(BB13:BK13)</f>
        <v>162.94</v>
      </c>
      <c r="BB13" s="13">
        <f>IF($D13="是",I13-J13,0)</f>
        <v>162.94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F39" sqref="F39:F48"/>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42" t="s">
        <v>1131</v>
      </c>
      <c r="B2" s="3542"/>
      <c r="C2" s="3542"/>
      <c r="D2" s="796" t="s">
        <v>1107</v>
      </c>
      <c r="E2" s="1639" t="s">
        <v>1108</v>
      </c>
      <c r="F2" s="2657"/>
      <c r="G2" s="2648"/>
      <c r="H2" s="2649"/>
      <c r="I2" s="2325" t="s">
        <v>1132</v>
      </c>
      <c r="J2" s="2657"/>
      <c r="K2" s="2657"/>
      <c r="L2" s="2657"/>
      <c r="M2" s="2657"/>
      <c r="N2" s="2659"/>
      <c r="O2" s="2657"/>
      <c r="P2" s="2657"/>
    </row>
    <row r="3" spans="1:16" ht="15.75" thickBot="1">
      <c r="A3" s="3543" t="s">
        <v>1105</v>
      </c>
      <c r="B3" s="3543"/>
      <c r="C3" s="3543"/>
      <c r="D3" s="43">
        <f>'数据-基础表'!AY6</f>
        <v>0</v>
      </c>
      <c r="E3" s="43">
        <f>'数据-基础表'!AZ5</f>
        <v>162.94</v>
      </c>
      <c r="F3" s="2657"/>
      <c r="G3" s="1145"/>
      <c r="H3" s="1026" t="s">
        <v>1106</v>
      </c>
      <c r="I3" s="855" t="e">
        <f>ROUND('数据-基础表'!B3/'数据-基础表'!A3,2)</f>
        <v>#DIV/0!</v>
      </c>
      <c r="J3" s="2657"/>
      <c r="K3" s="2657"/>
      <c r="L3" s="2657"/>
      <c r="M3" s="2657"/>
      <c r="N3" s="2659"/>
      <c r="O3" s="2657"/>
      <c r="P3" s="2657"/>
    </row>
    <row r="4" spans="1:16" ht="15">
      <c r="A4" s="3544"/>
      <c r="B4" s="3545"/>
      <c r="C4" s="3546"/>
      <c r="D4" s="1641" t="s">
        <v>1107</v>
      </c>
      <c r="E4" s="1642" t="s">
        <v>1108</v>
      </c>
      <c r="F4" s="2657"/>
      <c r="G4" s="2650" t="s">
        <v>1133</v>
      </c>
      <c r="H4" s="1026" t="s">
        <v>1113</v>
      </c>
      <c r="I4" s="855" t="e">
        <f>ROUND(SUMIF('数据-基础表'!I9:AS9,"地上",'数据-基础表'!I5:AS5)/'数据-基础表'!A3,2)</f>
        <v>#DIV/0!</v>
      </c>
      <c r="J4" s="2657"/>
      <c r="K4" s="2657"/>
      <c r="L4" s="2657"/>
      <c r="M4" s="2657"/>
      <c r="N4" s="2659"/>
      <c r="O4" s="2657"/>
      <c r="P4" s="2657"/>
    </row>
    <row r="5" spans="1:16">
      <c r="A5" s="44" t="s">
        <v>1109</v>
      </c>
      <c r="B5" s="3547" t="s">
        <v>1110</v>
      </c>
      <c r="C5" s="3547"/>
      <c r="D5" s="45">
        <f>ROUND($D$3*E5/$E$3,2)</f>
        <v>0</v>
      </c>
      <c r="E5" s="46">
        <f>SUMIF('数据-基础表'!$11:$11,"住宅",'数据-基础表'!$5:$5)</f>
        <v>162.94</v>
      </c>
      <c r="F5" s="2657"/>
      <c r="G5" s="1145"/>
      <c r="H5" s="1026" t="s">
        <v>1106</v>
      </c>
      <c r="I5" s="855" t="e">
        <f>ROUND(E31/D31,2)</f>
        <v>#DIV/0!</v>
      </c>
      <c r="J5" s="2657"/>
      <c r="K5" s="2657"/>
      <c r="L5" s="2657"/>
      <c r="M5" s="2657"/>
      <c r="N5" s="2657"/>
      <c r="O5" s="2657"/>
      <c r="P5" s="2657"/>
    </row>
    <row r="6" spans="1:16" ht="15" thickBot="1">
      <c r="A6" s="1644"/>
      <c r="B6" s="3547" t="s">
        <v>1111</v>
      </c>
      <c r="C6" s="3547"/>
      <c r="D6" s="45">
        <f>ROUND($D$3*E6/$E$3,2)</f>
        <v>0</v>
      </c>
      <c r="E6" s="46">
        <f>E3-E5</f>
        <v>0</v>
      </c>
      <c r="F6" s="2657"/>
      <c r="G6" s="2651" t="s">
        <v>1112</v>
      </c>
      <c r="H6" s="1146" t="s">
        <v>1113</v>
      </c>
      <c r="I6" s="2652" t="e">
        <f>ROUND(F31/D31,2)</f>
        <v>#DIV/0!</v>
      </c>
      <c r="J6" s="2657"/>
      <c r="K6" s="2657"/>
      <c r="L6" s="2657"/>
      <c r="M6" s="2657"/>
      <c r="N6" s="2657"/>
      <c r="O6" s="2657"/>
      <c r="P6" s="2657"/>
    </row>
    <row r="7" spans="1:16" ht="15.75" thickBot="1">
      <c r="A7" s="3539"/>
      <c r="B7" s="3540"/>
      <c r="C7" s="3541"/>
      <c r="D7" s="1641" t="s">
        <v>1107</v>
      </c>
      <c r="E7" s="1645" t="s">
        <v>1114</v>
      </c>
      <c r="F7" s="2657"/>
      <c r="G7" s="2653" t="s">
        <v>1115</v>
      </c>
      <c r="H7" s="2654"/>
      <c r="I7" s="2655"/>
      <c r="J7" s="2657"/>
      <c r="K7" s="2657"/>
      <c r="L7" s="2657"/>
      <c r="M7" s="2657"/>
      <c r="N7" s="2657"/>
      <c r="O7" s="2657"/>
      <c r="P7" s="2657"/>
    </row>
    <row r="8" spans="1:16">
      <c r="A8" s="44" t="s">
        <v>1116</v>
      </c>
      <c r="B8" s="47" t="s">
        <v>1117</v>
      </c>
      <c r="C8" s="45" t="s">
        <v>1118</v>
      </c>
      <c r="D8" s="45">
        <f t="shared" ref="D8:D15" si="0">ROUND($D$3*E8/$E$3,2)</f>
        <v>0</v>
      </c>
      <c r="E8" s="48">
        <f>SUMIF('数据-基础表'!BB10:BK10,"地上",'数据-基础表'!BB5:BK5)</f>
        <v>162.94</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0</v>
      </c>
      <c r="E16" s="50">
        <f>SUM(E8:E15)</f>
        <v>162.94</v>
      </c>
      <c r="F16" s="2657"/>
      <c r="G16" s="2658"/>
      <c r="H16" s="1648" t="s">
        <v>1135</v>
      </c>
      <c r="I16" s="1649"/>
      <c r="J16" s="1139"/>
      <c r="K16" s="3536" t="s">
        <v>1135</v>
      </c>
      <c r="L16" s="3537"/>
      <c r="M16" s="3537"/>
      <c r="N16" s="3537"/>
      <c r="O16" s="3537"/>
      <c r="P16" s="3538"/>
    </row>
    <row r="17" spans="1:19" ht="15">
      <c r="A17" s="1650" t="s">
        <v>1136</v>
      </c>
      <c r="B17" s="1651" t="s">
        <v>1137</v>
      </c>
      <c r="C17" s="1652" t="s">
        <v>1138</v>
      </c>
      <c r="D17" s="1653" t="s">
        <v>1126</v>
      </c>
      <c r="E17" s="1654" t="s">
        <v>1127</v>
      </c>
      <c r="F17" s="1655"/>
      <c r="G17" s="1656"/>
      <c r="H17" s="1657" t="s">
        <v>1139</v>
      </c>
      <c r="I17" s="1658" t="s">
        <v>1124</v>
      </c>
      <c r="J17" s="1139"/>
      <c r="K17" s="3533" t="s">
        <v>1140</v>
      </c>
      <c r="L17" s="3534"/>
      <c r="M17" s="3535"/>
      <c r="N17" s="3533" t="s">
        <v>1141</v>
      </c>
      <c r="O17" s="3534"/>
      <c r="P17" s="353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tr">
        <f>'数据-基础表'!I10</f>
        <v>住宅</v>
      </c>
      <c r="D19" s="45">
        <f>ROUND($D$3*E19/$E$3,2)</f>
        <v>0</v>
      </c>
      <c r="E19" s="53">
        <f t="shared" ref="E19:E26" si="1">SUM(F19:G19)</f>
        <v>162.94</v>
      </c>
      <c r="F19" s="2793">
        <f>'数据-基础表'!I13</f>
        <v>162.94</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0</v>
      </c>
      <c r="S19" s="1027">
        <f t="shared" si="5"/>
        <v>162.94</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0</v>
      </c>
      <c r="E27" s="1141">
        <f>IF(SUM(E19:E26)='数据-基础表'!BA5,SUM(E19:E26),IF(F27="地上面积有误","面积有误","地下面积有误"))</f>
        <v>162.94</v>
      </c>
      <c r="F27" s="1140">
        <f>IF(SUM(F19:F26)=E8,SUM(F19:F26),"地上面积有误")</f>
        <v>162.94</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162.94</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0</v>
      </c>
      <c r="E31" s="676">
        <f>E27+E30</f>
        <v>162.94</v>
      </c>
      <c r="F31" s="677">
        <f>F27+F30</f>
        <v>162.94</v>
      </c>
      <c r="G31" s="678">
        <f>G27+G30</f>
        <v>0</v>
      </c>
      <c r="H31" s="2657"/>
      <c r="I31" s="2657"/>
      <c r="J31" s="2657"/>
      <c r="K31" s="2657"/>
      <c r="L31" s="2657"/>
      <c r="M31" s="2657"/>
      <c r="N31" s="2657"/>
      <c r="O31" s="2657"/>
      <c r="P31" s="2657"/>
    </row>
    <row r="32" spans="1:19">
      <c r="A32" s="1643"/>
      <c r="B32" s="1643" t="s">
        <v>1159</v>
      </c>
      <c r="C32" s="1643"/>
      <c r="D32" s="1643"/>
      <c r="E32" s="1053">
        <f>SUMIF(C19:C26,"*住宅*",E19:E26)</f>
        <v>162.94</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U6" activePane="bottomRight" state="frozen"/>
      <selection activeCell="F39" sqref="F39:F48"/>
      <selection pane="topRight" activeCell="F39" sqref="F39:F48"/>
      <selection pane="bottomLeft" activeCell="F39" sqref="F39:F48"/>
      <selection pane="bottomRight" activeCell="AB18" sqref="AB1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45153</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3385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住宅</v>
      </c>
      <c r="B6" s="1713" t="str">
        <f>IF(A6=0,"","经营性")</f>
        <v>经营性</v>
      </c>
      <c r="C6" s="1714" t="s">
        <v>3383</v>
      </c>
      <c r="D6" s="858">
        <f>SUMIF(项目基本情况!C$12:I$12,C6,项目基本情况!C$14:I$14)</f>
        <v>70</v>
      </c>
      <c r="E6" s="857">
        <f>IF(B6="","",SUMIF(项目基本情况!C$12:I$12,C6,项目基本情况!C$13:I$13))</f>
        <v>63406</v>
      </c>
      <c r="F6" s="64">
        <f>SUMIF(项目基本情况!C$12:I$12,C6,项目基本情况!C$15:I$15)</f>
        <v>50</v>
      </c>
      <c r="G6" s="65">
        <f>IF(ISERROR(ROUND(POWER(1+H6,D6-F6)*(POWER(1+H6,F6)-1)/(POWER(1+H6,D6)-1),3)),0,ROUND(POWER(1+H6,D6-F6)*(POWER(1+H6,F6)-1)/(POWER(1+H6,D6)-1),3))</f>
        <v>0.91800000000000004</v>
      </c>
      <c r="H6" s="732">
        <v>0.04</v>
      </c>
      <c r="I6" s="732">
        <v>4.4999999999999998E-2</v>
      </c>
      <c r="J6" s="66">
        <v>7.0000000000000007E-2</v>
      </c>
      <c r="K6" s="1030">
        <f>SUMIF('数据-汇总表'!C$19:C$33,A6,'数据-汇总表'!E$19:E$33)</f>
        <v>162.94</v>
      </c>
      <c r="L6" s="733">
        <v>3500</v>
      </c>
      <c r="M6" s="67">
        <f t="shared" ref="M6:M14" si="0">ROUND(K6*L6/10000,0)</f>
        <v>57</v>
      </c>
      <c r="N6" s="731">
        <v>0.7</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6">
        <v>105</v>
      </c>
      <c r="V6" s="70">
        <v>3.5000000000000003E-2</v>
      </c>
      <c r="W6" s="70">
        <v>0.08</v>
      </c>
      <c r="X6" s="1040"/>
      <c r="Y6" s="71">
        <v>0.7</v>
      </c>
      <c r="Z6" s="72"/>
      <c r="AA6" s="66"/>
      <c r="AB6" s="66"/>
      <c r="AC6" s="1040"/>
      <c r="AD6" s="73"/>
      <c r="AE6" s="1041">
        <f ca="1">IF(AN6="",0,SUMIF(INDIRECT("'"&amp;AN6&amp;"'"&amp;"!E:E"),$AE$5,INDIRECT("'"&amp;AN6&amp;"'"&amp;"!F:F")))</f>
        <v>50</v>
      </c>
      <c r="AF6" s="1348"/>
      <c r="AG6" s="138">
        <f>IF(AF6="",0,AE6-AF6)</f>
        <v>0</v>
      </c>
      <c r="AH6" s="74">
        <f>项目基本情况!C17</f>
        <v>162.94</v>
      </c>
      <c r="AI6" s="76">
        <v>12</v>
      </c>
      <c r="AJ6" s="77"/>
      <c r="AK6" s="78">
        <v>8.0000000000000002E-3</v>
      </c>
      <c r="AL6" s="79">
        <v>1E-3</v>
      </c>
      <c r="AM6" s="80">
        <v>8.0000000000000002E-3</v>
      </c>
      <c r="AN6" s="1715" t="s">
        <v>3432</v>
      </c>
      <c r="AO6" s="52">
        <f ca="1">SUMIF(INDIRECT("'"&amp;AN6&amp;"'"&amp;"!A:A"),"总价",INDIRECT("'"&amp;AN6&amp;"'"&amp;"!B:B"))</f>
        <v>667.48479999999995</v>
      </c>
      <c r="AP6" s="1716">
        <f>IF(C6="住宅",K6*L6,0)</f>
        <v>570290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0.91800000000000004</v>
      </c>
      <c r="H16" s="90">
        <f>ROUND(SUMPRODUCT(H6:H13,K6:K13)/SUMPRODUCT((H6:H13&gt;0)*(K6:K13)),3)</f>
        <v>0.04</v>
      </c>
      <c r="I16" s="91"/>
      <c r="J16" s="91"/>
      <c r="K16" s="92">
        <f>SUM(K6:K15)</f>
        <v>162.94</v>
      </c>
      <c r="L16" s="93">
        <f>ROUND(M16*10000/SUM(K6:K14),0)</f>
        <v>3498</v>
      </c>
      <c r="M16" s="93">
        <f>SUM(M6:M14)</f>
        <v>57</v>
      </c>
      <c r="N16" s="94">
        <f>ROUND(SUMPRODUCT(M6:M14,N6:N14)/M16,3)</f>
        <v>0.7</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c r="C19" s="2797" t="s">
        <v>2303</v>
      </c>
      <c r="D19" s="2674"/>
      <c r="E19" s="2671"/>
      <c r="F19" s="2671"/>
      <c r="G19" s="2671"/>
      <c r="H19" s="2671"/>
      <c r="I19" s="2671"/>
      <c r="J19" s="2671"/>
      <c r="K19" s="2670"/>
      <c r="L19" s="2670"/>
      <c r="M19" s="2669"/>
      <c r="N19" s="2669"/>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2</v>
      </c>
      <c r="C20" s="2798" t="s">
        <v>2301</v>
      </c>
      <c r="D20" s="2674"/>
      <c r="E20" s="2671"/>
      <c r="F20" s="2671"/>
      <c r="G20" s="2671"/>
      <c r="H20" s="2671"/>
      <c r="I20" s="2671"/>
      <c r="J20" s="2671"/>
      <c r="K20" s="2670"/>
      <c r="L20" s="2670"/>
      <c r="M20" s="2669"/>
      <c r="N20" s="2669"/>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2305</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200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c r="C29" s="2800" t="s">
        <v>2292</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2293</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0.08</v>
      </c>
      <c r="C34" s="2801" t="s">
        <v>2294</v>
      </c>
      <c r="D34" s="2682" t="s">
        <v>2302</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2296</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0.01</v>
      </c>
      <c r="C37" s="2801" t="s">
        <v>2297</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0.01</v>
      </c>
      <c r="C38" s="2801" t="s">
        <v>2297</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29.25" thickBot="1">
      <c r="A40" s="2813" t="s">
        <v>3434</v>
      </c>
      <c r="B40" s="1078">
        <f ca="1">IF(A40="利息：取LPR",存贷款利率!G1,存贷款利率!G1+C40)</f>
        <v>4.7500000000000001E-2</v>
      </c>
      <c r="C40" s="2812">
        <v>1.2E-2</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5.6000000000000001E-2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6.000000000000001E-3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7.0000000000000007E-2</v>
      </c>
      <c r="C44" s="2801" t="s">
        <v>2306</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2298</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2299</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c r="C47" s="2803" t="s">
        <v>2307</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2298</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2300</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0</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c r="C53" s="2659" t="s">
        <v>1246</v>
      </c>
      <c r="D53" s="2802" t="s">
        <v>2304</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F39" sqref="F39:F48"/>
      <selection pane="topRight" activeCell="F39" sqref="F39:F48"/>
      <selection pane="bottomLeft" activeCell="F39" sqref="F39:F48"/>
      <selection pane="bottomRight" activeCell="C11" sqref="C11"/>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7" customFormat="1" ht="18.75" thickBot="1">
      <c r="A1" s="3548" t="s">
        <v>2284</v>
      </c>
      <c r="B1" s="3549"/>
      <c r="C1" s="3549"/>
      <c r="D1" s="3549"/>
      <c r="E1" s="3549"/>
      <c r="F1" s="3549"/>
      <c r="G1" s="3549"/>
      <c r="H1" s="2452"/>
      <c r="I1" s="2453"/>
      <c r="J1" s="2452"/>
      <c r="K1" s="2452"/>
      <c r="L1" s="2453"/>
      <c r="M1" s="2452"/>
      <c r="N1" s="2452"/>
      <c r="O1" s="2453"/>
      <c r="P1" s="2452"/>
      <c r="Q1" s="2454"/>
      <c r="R1" s="2455"/>
      <c r="S1" s="2456"/>
      <c r="T1" s="2456"/>
      <c r="U1" s="2456"/>
      <c r="V1" s="2456"/>
      <c r="W1" s="2456"/>
      <c r="X1" s="2456"/>
      <c r="Y1" s="2456"/>
      <c r="Z1" s="2456"/>
      <c r="AA1" s="2456"/>
      <c r="AB1" s="2456"/>
      <c r="AC1" s="2456"/>
    </row>
    <row r="2" spans="1:29" ht="15" thickBot="1">
      <c r="A2" s="2458"/>
      <c r="B2" s="2459"/>
      <c r="C2" s="2460" t="s">
        <v>2280</v>
      </c>
      <c r="D2" s="2461"/>
      <c r="E2" s="2458"/>
      <c r="F2" s="2462"/>
      <c r="G2" s="2460" t="s">
        <v>2281</v>
      </c>
      <c r="H2" s="799"/>
      <c r="I2" s="799"/>
      <c r="J2" s="799"/>
      <c r="K2" s="799"/>
      <c r="L2" s="799"/>
      <c r="M2" s="799"/>
      <c r="N2" s="799"/>
      <c r="O2" s="799"/>
      <c r="P2" s="799"/>
      <c r="Q2" s="799"/>
      <c r="R2" s="799"/>
    </row>
    <row r="3" spans="1:29" ht="60">
      <c r="A3" s="2441" t="s">
        <v>2282</v>
      </c>
      <c r="B3" s="2463" t="s">
        <v>2252</v>
      </c>
      <c r="C3" s="3451" t="s">
        <v>3402</v>
      </c>
      <c r="D3" s="2464"/>
      <c r="E3" s="2442" t="s">
        <v>2282</v>
      </c>
      <c r="F3" s="2465" t="s">
        <v>2253</v>
      </c>
      <c r="G3" s="2466" t="s">
        <v>2283</v>
      </c>
      <c r="H3" s="799"/>
      <c r="I3" s="799"/>
      <c r="J3" s="799"/>
      <c r="K3" s="799"/>
      <c r="L3" s="799"/>
      <c r="M3" s="799"/>
      <c r="N3" s="799"/>
      <c r="O3" s="799"/>
      <c r="P3" s="799"/>
      <c r="Q3" s="799"/>
      <c r="R3" s="799"/>
    </row>
    <row r="4" spans="1:29" ht="36.75">
      <c r="A4" s="2442"/>
      <c r="B4" s="323" t="s">
        <v>2254</v>
      </c>
      <c r="C4" s="2467" t="s">
        <v>2255</v>
      </c>
      <c r="D4" s="2464"/>
      <c r="E4" s="2468"/>
      <c r="F4" s="1373" t="s">
        <v>2256</v>
      </c>
      <c r="G4" s="2469" t="s">
        <v>2257</v>
      </c>
      <c r="H4" s="799"/>
      <c r="I4" s="799"/>
      <c r="J4" s="799"/>
      <c r="K4" s="799"/>
      <c r="L4" s="799"/>
      <c r="M4" s="799"/>
      <c r="N4" s="799"/>
      <c r="O4" s="799"/>
      <c r="P4" s="799"/>
      <c r="Q4" s="799"/>
      <c r="R4" s="799"/>
    </row>
    <row r="5" spans="1:29" ht="36.75">
      <c r="A5" s="2442"/>
      <c r="B5" s="323" t="s">
        <v>2258</v>
      </c>
      <c r="C5" s="2467" t="s">
        <v>2259</v>
      </c>
      <c r="D5" s="2464"/>
      <c r="E5" s="2468"/>
      <c r="F5" s="323" t="s">
        <v>2260</v>
      </c>
      <c r="G5" s="2469" t="s">
        <v>2261</v>
      </c>
      <c r="H5" s="799"/>
      <c r="I5" s="799"/>
      <c r="J5" s="799"/>
      <c r="K5" s="799"/>
      <c r="L5" s="799"/>
      <c r="M5" s="799"/>
      <c r="N5" s="799"/>
      <c r="O5" s="799"/>
      <c r="P5" s="799"/>
      <c r="Q5" s="799"/>
      <c r="R5" s="799"/>
    </row>
    <row r="6" spans="1:29" ht="60">
      <c r="A6" s="2442"/>
      <c r="B6" s="323" t="s">
        <v>2262</v>
      </c>
      <c r="C6" s="3452" t="s">
        <v>3403</v>
      </c>
      <c r="D6" s="2464"/>
      <c r="E6" s="2468"/>
      <c r="F6" s="323" t="s">
        <v>2263</v>
      </c>
      <c r="G6" s="2469" t="s">
        <v>2264</v>
      </c>
      <c r="H6" s="799"/>
      <c r="I6" s="799"/>
      <c r="J6" s="799"/>
      <c r="K6" s="799"/>
      <c r="L6" s="799"/>
      <c r="M6" s="799"/>
      <c r="N6" s="799"/>
      <c r="O6" s="799"/>
      <c r="P6" s="799"/>
      <c r="Q6" s="799"/>
      <c r="R6" s="799"/>
    </row>
    <row r="7" spans="1:29" ht="24.75" thickBot="1">
      <c r="A7" s="2442"/>
      <c r="B7" s="323" t="s">
        <v>2260</v>
      </c>
      <c r="C7" s="3452" t="s">
        <v>3404</v>
      </c>
      <c r="D7" s="2470"/>
      <c r="E7" s="2471"/>
      <c r="F7" s="2472" t="s">
        <v>2265</v>
      </c>
      <c r="G7" s="2473" t="s">
        <v>2266</v>
      </c>
      <c r="H7" s="799"/>
      <c r="I7" s="799"/>
      <c r="J7" s="799"/>
      <c r="K7" s="799"/>
      <c r="L7" s="799"/>
      <c r="M7" s="799"/>
      <c r="N7" s="799"/>
      <c r="O7" s="799"/>
      <c r="P7" s="799"/>
      <c r="Q7" s="799"/>
      <c r="R7" s="799"/>
    </row>
    <row r="8" spans="1:29" ht="24">
      <c r="A8" s="2442"/>
      <c r="B8" s="323" t="s">
        <v>2263</v>
      </c>
      <c r="C8" s="3452" t="s">
        <v>3405</v>
      </c>
      <c r="D8" s="2470"/>
      <c r="E8" s="2470"/>
      <c r="F8" s="2474"/>
      <c r="G8" s="2474"/>
      <c r="H8" s="799"/>
      <c r="I8" s="799"/>
      <c r="J8" s="799"/>
      <c r="K8" s="799"/>
      <c r="L8" s="799"/>
      <c r="M8" s="799"/>
      <c r="N8" s="799"/>
      <c r="O8" s="799"/>
      <c r="P8" s="799"/>
      <c r="Q8" s="799"/>
      <c r="R8" s="799"/>
    </row>
    <row r="9" spans="1:29" ht="48">
      <c r="A9" s="2442"/>
      <c r="B9" s="323" t="s">
        <v>2267</v>
      </c>
      <c r="C9" s="3453" t="s">
        <v>3406</v>
      </c>
      <c r="D9" s="2464"/>
      <c r="E9" s="2470"/>
      <c r="F9" s="2474"/>
      <c r="G9" s="2474"/>
      <c r="H9" s="799"/>
      <c r="I9" s="799"/>
      <c r="J9" s="799"/>
      <c r="K9" s="799"/>
      <c r="L9" s="799"/>
      <c r="M9" s="799"/>
      <c r="N9" s="799"/>
      <c r="O9" s="799"/>
      <c r="P9" s="799"/>
      <c r="Q9" s="799"/>
      <c r="R9" s="799"/>
    </row>
    <row r="10" spans="1:29" s="2479" customFormat="1" ht="15" thickBot="1">
      <c r="A10" s="2443"/>
      <c r="B10" s="2475" t="s">
        <v>2268</v>
      </c>
      <c r="C10" s="3454" t="s">
        <v>3407</v>
      </c>
      <c r="D10" s="2464"/>
      <c r="E10" s="2464"/>
      <c r="F10" s="2474"/>
      <c r="G10" s="2474"/>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70"/>
      <c r="C11" s="2464"/>
      <c r="D11" s="2464"/>
      <c r="E11" s="2464"/>
      <c r="F11" s="2470"/>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7" customFormat="1" ht="18">
      <c r="A12" s="2480"/>
      <c r="B12" s="2470"/>
      <c r="C12" s="2464"/>
      <c r="D12" s="2482"/>
      <c r="E12" s="2464"/>
      <c r="F12" s="2470"/>
      <c r="G12" s="2481"/>
      <c r="H12" s="2483"/>
      <c r="I12" s="2484"/>
      <c r="J12" s="2483"/>
      <c r="K12" s="2483"/>
      <c r="L12" s="2485"/>
      <c r="M12" s="2483"/>
      <c r="N12" s="2486"/>
      <c r="O12" s="2487"/>
      <c r="P12" s="2486"/>
      <c r="Q12" s="2486"/>
      <c r="R12" s="2455"/>
      <c r="S12" s="2456"/>
      <c r="T12" s="2456"/>
      <c r="U12" s="2456"/>
      <c r="V12" s="2456"/>
      <c r="W12" s="2456"/>
      <c r="X12" s="2456"/>
      <c r="Y12" s="2456"/>
      <c r="Z12" s="2456"/>
      <c r="AA12" s="2456"/>
      <c r="AB12" s="2456"/>
      <c r="AC12" s="2456"/>
    </row>
    <row r="13" spans="1:29" ht="15.75" thickBot="1">
      <c r="A13" s="2488" t="s">
        <v>2285</v>
      </c>
      <c r="B13" s="2482"/>
      <c r="C13" s="2482"/>
      <c r="D13" s="2480"/>
      <c r="E13" s="2482"/>
      <c r="F13" s="2482"/>
      <c r="G13" s="2482"/>
    </row>
    <row r="14" spans="1:29" ht="15" thickBot="1">
      <c r="A14" s="2492"/>
      <c r="B14" s="2492"/>
      <c r="C14" s="2493" t="s">
        <v>2269</v>
      </c>
      <c r="D14" s="2464"/>
      <c r="E14" s="2494"/>
      <c r="F14" s="2494"/>
      <c r="G14" s="2460" t="s">
        <v>2270</v>
      </c>
    </row>
    <row r="15" spans="1:29" ht="63.75">
      <c r="A15" s="2444" t="s">
        <v>2271</v>
      </c>
      <c r="B15" s="2495" t="s">
        <v>2252</v>
      </c>
      <c r="C15" s="2496" t="str">
        <f>C3</f>
        <v>估价对象周边有润枫水尚、华纺易城、国美第一城、晨光家园、甘露园南里等居住小区，小区规模和社区发展完善程度较高，综合评价居住社区成熟度较好</v>
      </c>
      <c r="D15" s="2464"/>
      <c r="E15" s="2445" t="s">
        <v>2272</v>
      </c>
      <c r="F15" s="2495" t="s">
        <v>2273</v>
      </c>
      <c r="G15" s="2497" t="str">
        <f>G3</f>
        <v>估价对象位于XX开发区，园区建设成熟度XX，产业集聚程度XX</v>
      </c>
    </row>
    <row r="16" spans="1:29" ht="38.25">
      <c r="A16" s="2446"/>
      <c r="B16" s="2498" t="s">
        <v>2254</v>
      </c>
      <c r="C16" s="2499" t="str">
        <f>C4</f>
        <v>估价对象位于XX商圈，周边商业氛围成熟，人流量大，商业繁华度好</v>
      </c>
      <c r="D16" s="2464"/>
      <c r="E16" s="2447"/>
      <c r="F16" s="2500" t="s">
        <v>2256</v>
      </c>
      <c r="G16" s="2501" t="str">
        <f>G4</f>
        <v>估价对象周边道路状况、公共交通通达情况、停车便捷程度，综合评价交通便捷度较好</v>
      </c>
    </row>
    <row r="17" spans="1:18" ht="38.25">
      <c r="A17" s="2446"/>
      <c r="B17" s="2498" t="s">
        <v>2258</v>
      </c>
      <c r="C17" s="2499" t="str">
        <f>C5</f>
        <v>估价对象位于XX商圈，周边办公楼项目较多，入驻率高，办公集聚程度较好</v>
      </c>
      <c r="D17" s="2470"/>
      <c r="E17" s="2447"/>
      <c r="F17" s="2500" t="s">
        <v>2274</v>
      </c>
      <c r="G17" s="2502"/>
    </row>
    <row r="18" spans="1:18" ht="63.75">
      <c r="A18" s="2446"/>
      <c r="B18" s="2500" t="s">
        <v>2262</v>
      </c>
      <c r="C18" s="2501" t="str">
        <f>C6</f>
        <v>估价对象周边有75路、126路、675路、682路、991路等多条公交线路，距地铁6号线（青年路站）约400米，综合评价交通便捷度较好</v>
      </c>
      <c r="D18" s="2470"/>
      <c r="E18" s="2447"/>
      <c r="F18" s="2500" t="s">
        <v>2265</v>
      </c>
      <c r="G18" s="2501" t="str">
        <f>G7</f>
        <v>该园区内是否有污染型企业，绿化情况，卫生条件，整体环境状况判断</v>
      </c>
    </row>
    <row r="19" spans="1:18" ht="25.5">
      <c r="A19" s="2446"/>
      <c r="B19" s="2500" t="s">
        <v>2275</v>
      </c>
      <c r="C19" s="2502"/>
      <c r="D19" s="2464"/>
      <c r="E19" s="2447"/>
      <c r="F19" s="323" t="s">
        <v>2260</v>
      </c>
      <c r="G19" s="2501" t="str">
        <f>G5</f>
        <v>估价对象所在区域公共配套设施齐备情况</v>
      </c>
    </row>
    <row r="20" spans="1:18" ht="51">
      <c r="A20" s="2446"/>
      <c r="B20" s="2500" t="s">
        <v>2276</v>
      </c>
      <c r="C20" s="2499" t="str">
        <f>C9</f>
        <v>区域自然环境：京城森林公园、红领巾公园、二道沟等；人文环境；四季体育馆；综合评价环境状况较好。</v>
      </c>
      <c r="D20" s="2470"/>
      <c r="E20" s="2447"/>
      <c r="F20" s="323" t="s">
        <v>2263</v>
      </c>
      <c r="G20" s="2501" t="str">
        <f>G6</f>
        <v>估价对象所在区域基础设施水平</v>
      </c>
    </row>
    <row r="21" spans="1:18" ht="25.5">
      <c r="A21" s="2446"/>
      <c r="B21" s="323" t="s">
        <v>2260</v>
      </c>
      <c r="C21" s="2501" t="str">
        <f>C7</f>
        <v>估价对象所在区域公共配套设施齐备情况较好</v>
      </c>
      <c r="D21" s="2464"/>
      <c r="E21" s="2447"/>
      <c r="F21" s="2500" t="s">
        <v>2277</v>
      </c>
      <c r="G21" s="2503"/>
    </row>
    <row r="22" spans="1:18" ht="13.5" customHeight="1">
      <c r="A22" s="2446"/>
      <c r="B22" s="323" t="s">
        <v>2263</v>
      </c>
      <c r="C22" s="2501" t="str">
        <f>C8</f>
        <v>估价对象所在区域基础设施水平达七通</v>
      </c>
      <c r="D22" s="2464"/>
      <c r="E22" s="2447"/>
      <c r="F22" s="2500" t="s">
        <v>2268</v>
      </c>
      <c r="G22" s="2502"/>
    </row>
    <row r="23" spans="1:18" s="799" customFormat="1" ht="15" thickBot="1">
      <c r="A23" s="2446"/>
      <c r="B23" s="2500" t="s">
        <v>2277</v>
      </c>
      <c r="C23" s="2503"/>
      <c r="D23" s="1741"/>
      <c r="E23" s="2448"/>
      <c r="F23" s="2504" t="s">
        <v>2278</v>
      </c>
      <c r="G23" s="2505"/>
      <c r="H23" s="2489"/>
      <c r="I23" s="2490"/>
      <c r="J23" s="2489"/>
      <c r="K23" s="2489"/>
      <c r="L23" s="2490"/>
      <c r="M23" s="2489"/>
      <c r="N23" s="2489"/>
      <c r="O23" s="2490"/>
      <c r="P23" s="2489"/>
      <c r="Q23" s="2489"/>
      <c r="R23" s="2491"/>
    </row>
    <row r="24" spans="1:18" s="799" customFormat="1" ht="15" thickBot="1">
      <c r="A24" s="2449"/>
      <c r="B24" s="2504" t="s">
        <v>2279</v>
      </c>
      <c r="C24" s="2506" t="str">
        <f>C10</f>
        <v>城市主干道——朝阳北路</v>
      </c>
      <c r="D24" s="1741"/>
      <c r="E24" s="2439"/>
      <c r="F24" s="2439"/>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D15" sqref="D1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162.94</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45153</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1029</v>
      </c>
      <c r="C5" s="2510">
        <f ca="1">IF(B5=D14,结果表!H102,ROUND(B5*10000/$B$1,0))</f>
        <v>0</v>
      </c>
      <c r="D5" s="2510" t="e">
        <f ca="1">ROUND(B5*10000/$B$2,0)</f>
        <v>#DIV/0!</v>
      </c>
      <c r="E5" s="2684"/>
      <c r="F5" s="2685"/>
      <c r="G5" s="2685"/>
      <c r="H5" s="2686"/>
      <c r="I5" s="2686"/>
      <c r="J5" s="2686"/>
      <c r="K5" s="2686"/>
    </row>
    <row r="6" spans="1:11" ht="16.5">
      <c r="A6" s="2510" t="s">
        <v>656</v>
      </c>
      <c r="B6" s="2510">
        <f>SUM(G14:G23)</f>
        <v>0</v>
      </c>
      <c r="C6" s="2510">
        <f ca="1">IF(B6=G14,结果表!H108,ROUND(B6*10000/$B$1,0))</f>
        <v>0</v>
      </c>
      <c r="D6" s="2510" t="e">
        <f>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3359</v>
      </c>
      <c r="D10" s="2510" t="s">
        <v>3360</v>
      </c>
      <c r="E10" s="3439"/>
      <c r="F10" s="3443" t="s">
        <v>3361</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项目基本情况!C17</f>
        <v>162.94</v>
      </c>
      <c r="C14" s="2516"/>
      <c r="D14" s="2516">
        <f ca="1">结果表!G19</f>
        <v>1029</v>
      </c>
      <c r="E14" s="2516">
        <f ca="1">ROUND(D14*10000/B14,0)</f>
        <v>63152</v>
      </c>
      <c r="F14" s="2516" t="e">
        <f ca="1">ROUND(D14*10000/C14,0)</f>
        <v>#DIV/0!</v>
      </c>
      <c r="G14" s="2516"/>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C3" zoomScaleNormal="100" zoomScaleSheetLayoutView="100" zoomScalePageLayoutView="80" workbookViewId="0">
      <selection activeCell="D8" sqref="D8:D9"/>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t="s">
        <v>3383</v>
      </c>
      <c r="D1" s="1747"/>
      <c r="E1" s="1747"/>
      <c r="F1" s="1749" t="s">
        <v>1263</v>
      </c>
      <c r="G1" s="1561"/>
      <c r="H1" s="1750" t="str">
        <f>IF(G1="现房","——","估价对象范围")</f>
        <v>估价对象范围</v>
      </c>
      <c r="I1" s="1751"/>
    </row>
    <row r="2" spans="1:12" ht="21.75" customHeight="1" thickBot="1">
      <c r="A2" s="3584" t="str">
        <f>项目基本情况!S2</f>
        <v>北京市房地产</v>
      </c>
      <c r="B2" s="3585"/>
      <c r="C2" s="3585"/>
      <c r="D2" s="3585"/>
      <c r="E2" s="3585"/>
      <c r="F2" s="3585"/>
      <c r="G2" s="3585"/>
      <c r="H2" s="3585"/>
      <c r="I2" s="3586"/>
    </row>
    <row r="3" spans="1:12" ht="12.75">
      <c r="A3" s="3588" t="s">
        <v>1264</v>
      </c>
      <c r="B3" s="3589"/>
      <c r="C3" s="3589"/>
      <c r="D3" s="3589"/>
      <c r="E3" s="3589"/>
      <c r="F3" s="3589"/>
      <c r="G3" s="3589"/>
      <c r="H3" s="3589"/>
      <c r="I3" s="3589"/>
    </row>
    <row r="4" spans="1:12" ht="14.25">
      <c r="A4" s="1754" t="s">
        <v>1265</v>
      </c>
      <c r="B4" s="1755" t="s">
        <v>1266</v>
      </c>
      <c r="C4" s="1756" t="s">
        <v>3432</v>
      </c>
      <c r="D4" s="1756" t="s">
        <v>3433</v>
      </c>
      <c r="E4" s="3590" t="s">
        <v>1267</v>
      </c>
      <c r="F4" s="3591"/>
      <c r="G4" s="3591"/>
      <c r="H4" s="3591"/>
      <c r="I4" s="3592"/>
      <c r="K4" s="146" t="str">
        <f>IF(ISNUMBER(FIND("比较法",结果表!C4)),"比较法",IF(ISNUMBER(FIND("成本法",结果表!C4)),"成本法",IF(ISNUMBER(FIND("假设开发法",结果表!C4)),"假设开发法",IF(ISNUMBER(FIND("收益法",结果表!C4)),"收益法","基准地价系数修正法"))))</f>
        <v>收益法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64" t="s">
        <v>1268</v>
      </c>
      <c r="B5" s="3551">
        <v>25</v>
      </c>
      <c r="C5" s="3567">
        <f>10-D5</f>
        <v>2</v>
      </c>
      <c r="D5" s="3587">
        <v>8</v>
      </c>
      <c r="E5" s="131" t="s">
        <v>1269</v>
      </c>
      <c r="F5" s="1757"/>
      <c r="G5" s="1757"/>
      <c r="H5" s="1757"/>
      <c r="I5" s="1373"/>
    </row>
    <row r="6" spans="1:12" ht="12.75">
      <c r="A6" s="3564"/>
      <c r="B6" s="3551"/>
      <c r="C6" s="3568"/>
      <c r="D6" s="3587"/>
      <c r="E6" s="131" t="s">
        <v>1270</v>
      </c>
      <c r="F6" s="1757"/>
      <c r="G6" s="1757"/>
      <c r="H6" s="1757"/>
      <c r="I6" s="1373"/>
    </row>
    <row r="7" spans="1:12" ht="12.75">
      <c r="A7" s="3564"/>
      <c r="B7" s="3551"/>
      <c r="C7" s="3569"/>
      <c r="D7" s="3587"/>
      <c r="E7" s="131" t="s">
        <v>1271</v>
      </c>
      <c r="F7" s="1757"/>
      <c r="G7" s="1757"/>
      <c r="H7" s="1757"/>
      <c r="I7" s="1373"/>
    </row>
    <row r="8" spans="1:12" ht="12.75">
      <c r="A8" s="3564" t="s">
        <v>1272</v>
      </c>
      <c r="B8" s="3551">
        <v>15</v>
      </c>
      <c r="C8" s="3567"/>
      <c r="D8" s="3587"/>
      <c r="E8" s="131" t="s">
        <v>1273</v>
      </c>
      <c r="F8" s="1757"/>
      <c r="G8" s="1757"/>
      <c r="H8" s="1757"/>
      <c r="I8" s="1373"/>
    </row>
    <row r="9" spans="1:12" ht="12.75">
      <c r="A9" s="3564"/>
      <c r="B9" s="3551"/>
      <c r="C9" s="3569"/>
      <c r="D9" s="3587"/>
      <c r="E9" s="131" t="s">
        <v>1274</v>
      </c>
      <c r="F9" s="1757"/>
      <c r="G9" s="1757"/>
      <c r="H9" s="1757"/>
      <c r="I9" s="1373"/>
    </row>
    <row r="10" spans="1:12" ht="12.75">
      <c r="A10" s="3564" t="s">
        <v>1275</v>
      </c>
      <c r="B10" s="3551">
        <v>15</v>
      </c>
      <c r="C10" s="3567"/>
      <c r="D10" s="3587"/>
      <c r="E10" s="131" t="s">
        <v>1276</v>
      </c>
      <c r="F10" s="1757"/>
      <c r="G10" s="1757"/>
      <c r="H10" s="1757"/>
      <c r="I10" s="1373"/>
    </row>
    <row r="11" spans="1:12" ht="12.75">
      <c r="A11" s="3564"/>
      <c r="B11" s="3551"/>
      <c r="C11" s="3569"/>
      <c r="D11" s="3587"/>
      <c r="E11" s="131" t="s">
        <v>1277</v>
      </c>
      <c r="F11" s="1757"/>
      <c r="G11" s="1757"/>
      <c r="H11" s="1757"/>
      <c r="I11" s="1373"/>
    </row>
    <row r="12" spans="1:12" ht="12.75">
      <c r="A12" s="3564" t="s">
        <v>1278</v>
      </c>
      <c r="B12" s="3551">
        <v>15</v>
      </c>
      <c r="C12" s="3567"/>
      <c r="D12" s="3587"/>
      <c r="E12" s="131" t="s">
        <v>1279</v>
      </c>
      <c r="F12" s="1757"/>
      <c r="G12" s="1757"/>
      <c r="H12" s="1757"/>
      <c r="I12" s="1373"/>
    </row>
    <row r="13" spans="1:12" ht="12.75">
      <c r="A13" s="3564"/>
      <c r="B13" s="3551"/>
      <c r="C13" s="3569"/>
      <c r="D13" s="3587"/>
      <c r="E13" s="131" t="s">
        <v>1280</v>
      </c>
      <c r="F13" s="1757"/>
      <c r="G13" s="1757"/>
      <c r="H13" s="1757"/>
      <c r="I13" s="1373"/>
    </row>
    <row r="14" spans="1:12" ht="12.75">
      <c r="A14" s="3564" t="s">
        <v>1281</v>
      </c>
      <c r="B14" s="3551">
        <v>30</v>
      </c>
      <c r="C14" s="3567"/>
      <c r="D14" s="3587"/>
      <c r="E14" s="131" t="s">
        <v>1282</v>
      </c>
      <c r="F14" s="1757"/>
      <c r="G14" s="1757"/>
      <c r="H14" s="1757"/>
      <c r="I14" s="1373"/>
    </row>
    <row r="15" spans="1:12" ht="12.75">
      <c r="A15" s="3564"/>
      <c r="B15" s="3551"/>
      <c r="C15" s="3568"/>
      <c r="D15" s="3587"/>
      <c r="E15" s="131" t="s">
        <v>1283</v>
      </c>
      <c r="F15" s="1757"/>
      <c r="G15" s="1757"/>
      <c r="H15" s="1757"/>
      <c r="I15" s="1373"/>
    </row>
    <row r="16" spans="1:12" ht="12.75">
      <c r="A16" s="3564"/>
      <c r="B16" s="3551"/>
      <c r="C16" s="3569"/>
      <c r="D16" s="3587"/>
      <c r="E16" s="131" t="s">
        <v>1284</v>
      </c>
      <c r="F16" s="1757"/>
      <c r="G16" s="1757"/>
      <c r="H16" s="1757"/>
      <c r="I16" s="1373"/>
    </row>
    <row r="17" spans="1:36" ht="15">
      <c r="A17" s="1758" t="s">
        <v>1285</v>
      </c>
      <c r="B17" s="56"/>
      <c r="C17" s="132">
        <f>SUM(C5:C16)</f>
        <v>2</v>
      </c>
      <c r="D17" s="132">
        <f>SUM(D5:D16)</f>
        <v>8</v>
      </c>
      <c r="E17" s="129"/>
      <c r="F17" s="129"/>
      <c r="G17" s="129"/>
      <c r="H17" s="129"/>
      <c r="I17" s="129"/>
      <c r="K17" s="302"/>
      <c r="L17" s="302" t="s">
        <v>1286</v>
      </c>
      <c r="M17" s="302" t="s">
        <v>1287</v>
      </c>
    </row>
    <row r="18" spans="1:36" ht="31.9" customHeight="1" thickBot="1">
      <c r="A18" s="1759" t="s">
        <v>1288</v>
      </c>
      <c r="B18" s="1760"/>
      <c r="C18" s="133">
        <f>ROUND(C17/SUM(C17:D17),2)</f>
        <v>0.2</v>
      </c>
      <c r="D18" s="133">
        <f>1-C18</f>
        <v>0.8</v>
      </c>
      <c r="E18" s="3574" t="s">
        <v>2131</v>
      </c>
      <c r="F18" s="3575"/>
      <c r="G18" s="3575"/>
      <c r="H18" s="3575"/>
      <c r="I18" s="3575"/>
      <c r="K18" s="302" t="s">
        <v>1289</v>
      </c>
      <c r="L18" s="302">
        <f>IF(C1="",'数据-汇总表'!E3,SUMIF(项目类型,C1,'数据-汇总表'!E17:E26)+SUMIF(项目类型,C1,'数据-汇总表'!I17:I26))</f>
        <v>162.94</v>
      </c>
      <c r="M18" s="302">
        <f>IF(C1="",'数据-汇总表'!E3,SUMIF(项目类型,C1,'数据-汇总表'!E17:E26))</f>
        <v>162.94</v>
      </c>
    </row>
    <row r="19" spans="1:36" ht="15">
      <c r="A19" s="1761" t="s">
        <v>1290</v>
      </c>
      <c r="B19" s="1762" t="s">
        <v>1291</v>
      </c>
      <c r="C19" s="134">
        <f ca="1">SUMIF(INDIRECT("'"&amp;C4&amp;"'"&amp;"!A:A"),结果表!B19,INDIRECT("'"&amp;C4&amp;"'"&amp;"!B:B"))</f>
        <v>667.48479999999995</v>
      </c>
      <c r="D19" s="135">
        <f ca="1">SUMIF(INDIRECT("'"&amp;D4&amp;"'"&amp;"!A:A"),结果表!B19,INDIRECT("'"&amp;D4&amp;"'"&amp;"!B:B"))</f>
        <v>1118.8764000000001</v>
      </c>
      <c r="E19" s="1761" t="s">
        <v>1292</v>
      </c>
      <c r="F19" s="1762" t="s">
        <v>1291</v>
      </c>
      <c r="G19" s="136">
        <f ca="1">ROUND(C19*$C$18+D19*$D$18,0)</f>
        <v>1029</v>
      </c>
      <c r="H19" s="1763"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4"/>
      <c r="B20" s="1026" t="s">
        <v>1295</v>
      </c>
      <c r="C20" s="137">
        <f ca="1">SUMIF(INDIRECT("'"&amp;C4&amp;"'"&amp;"!A:A"),结果表!B20,INDIRECT("'"&amp;C4&amp;"'"&amp;"!B:B"))</f>
        <v>40965</v>
      </c>
      <c r="D20" s="138">
        <f ca="1">SUMIF(INDIRECT("'"&amp;D4&amp;"'"&amp;"!A:A"),结果表!B20,INDIRECT("'"&amp;D4&amp;"'"&amp;"!B:B"))</f>
        <v>68668</v>
      </c>
      <c r="E20" s="1764"/>
      <c r="F20" s="1026" t="s">
        <v>1295</v>
      </c>
      <c r="G20" s="139">
        <f ca="1">ROUND(C20*$C$18+D20*$D$18,0)</f>
        <v>63127</v>
      </c>
      <c r="H20" s="808" t="s">
        <v>1296</v>
      </c>
      <c r="I20" s="129"/>
    </row>
    <row r="21" spans="1:36" ht="15" customHeight="1" thickBot="1">
      <c r="A21" s="828"/>
      <c r="B21" s="1765" t="s">
        <v>1297</v>
      </c>
      <c r="C21" s="719" t="e">
        <f ca="1">ROUND(C19*10000/L19,0)</f>
        <v>#DIV/0!</v>
      </c>
      <c r="D21" s="720" t="e">
        <f ca="1">ROUND(D19*10000/L19,0)</f>
        <v>#DIV/0!</v>
      </c>
      <c r="E21" s="828"/>
      <c r="F21" s="1765" t="s">
        <v>1297</v>
      </c>
      <c r="G21" s="140" t="e">
        <f ca="1">ROUND(G19*10000/L19,0)</f>
        <v>#DIV/0!</v>
      </c>
      <c r="H21" s="1766" t="s">
        <v>1296</v>
      </c>
      <c r="I21" s="129"/>
    </row>
    <row r="22" spans="1:36" ht="15" thickBot="1">
      <c r="A22" s="1688" t="s">
        <v>1298</v>
      </c>
      <c r="B22" s="1767"/>
      <c r="C22" s="1768"/>
      <c r="D22" s="721">
        <f ca="1">IF(C19&lt;D19,D19/C19-1,C19/D19-1)</f>
        <v>0.6762574967999273</v>
      </c>
      <c r="E22" s="129"/>
      <c r="F22" s="129"/>
      <c r="G22" s="129"/>
      <c r="H22" s="129"/>
      <c r="I22" s="129"/>
    </row>
    <row r="23" spans="1:36" ht="13.5" thickBot="1">
      <c r="A23" s="1747"/>
      <c r="B23" s="1747"/>
      <c r="C23" s="1747"/>
      <c r="D23" s="1747"/>
      <c r="E23" s="129"/>
      <c r="F23" s="129"/>
      <c r="G23" s="129"/>
      <c r="H23" s="129"/>
      <c r="I23" s="129"/>
    </row>
    <row r="24" spans="1:36" ht="14.25">
      <c r="A24" s="3558" t="s">
        <v>1299</v>
      </c>
      <c r="B24" s="1762" t="s">
        <v>1291</v>
      </c>
      <c r="C24" s="136">
        <f>IF(B30=0,0,D30)</f>
        <v>0</v>
      </c>
      <c r="D24" s="1769"/>
      <c r="E24" s="129"/>
      <c r="F24" s="129"/>
      <c r="G24" s="129"/>
      <c r="H24" s="129"/>
      <c r="I24" s="129"/>
    </row>
    <row r="25" spans="1:36" ht="14.25">
      <c r="A25" s="355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63127</v>
      </c>
      <c r="D32" s="1775"/>
      <c r="E32" s="129"/>
      <c r="F32" s="129"/>
      <c r="G32" s="129"/>
      <c r="H32" s="129"/>
      <c r="I32" s="129"/>
    </row>
    <row r="33" spans="1:15" ht="15">
      <c r="A33" s="786" t="s">
        <v>1306</v>
      </c>
      <c r="B33" s="1776"/>
      <c r="C33" s="1777"/>
      <c r="D33" s="1778"/>
      <c r="E33" s="1779" t="s">
        <v>1307</v>
      </c>
      <c r="F33" s="1780" t="str">
        <f>IF(D32="楼面单价","取值（单价）","取值（总价）")</f>
        <v>取值（总价）</v>
      </c>
      <c r="G33" s="129"/>
      <c r="H33" s="129"/>
      <c r="I33" s="129"/>
    </row>
    <row r="34" spans="1:15" ht="15">
      <c r="A34" s="1781"/>
      <c r="B34" s="1782"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3" t="s">
        <v>1309</v>
      </c>
      <c r="F34" s="1330"/>
      <c r="G34" s="129"/>
      <c r="H34" s="129"/>
      <c r="I34" s="129"/>
    </row>
    <row r="35" spans="1:15" ht="15.75" thickBot="1">
      <c r="A35" s="1784"/>
      <c r="B35" s="1785"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6" t="s">
        <v>1311</v>
      </c>
      <c r="F35" s="154"/>
      <c r="G35" s="129"/>
      <c r="H35" s="129"/>
      <c r="I35" s="129"/>
    </row>
    <row r="36" spans="1:15" ht="15.75" thickBot="1">
      <c r="A36" s="3578" t="s">
        <v>1312</v>
      </c>
      <c r="B36" s="1787" t="s">
        <v>1313</v>
      </c>
      <c r="C36" s="145"/>
      <c r="D36" s="1788"/>
      <c r="E36" s="1789"/>
      <c r="F36" s="1790"/>
      <c r="G36" s="129"/>
      <c r="H36" s="129"/>
      <c r="I36" s="129"/>
    </row>
    <row r="37" spans="1:15" ht="15.75" thickBot="1">
      <c r="A37" s="3579"/>
      <c r="B37" s="1674" t="s">
        <v>1314</v>
      </c>
      <c r="C37" s="147"/>
      <c r="D37" s="1139"/>
      <c r="E37" s="1139"/>
      <c r="F37" s="1790"/>
      <c r="G37" s="129"/>
      <c r="H37" s="129"/>
      <c r="I37" s="129"/>
    </row>
    <row r="38" spans="1:15" ht="15.75" thickBot="1">
      <c r="A38" s="358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55" t="s">
        <v>1326</v>
      </c>
      <c r="B45" s="3556"/>
      <c r="C45" s="3557"/>
      <c r="D45" s="155" t="e">
        <f ca="1">ROUND(H101*F45,0)</f>
        <v>#REF!</v>
      </c>
      <c r="E45" s="156" t="s">
        <v>1327</v>
      </c>
      <c r="F45" s="157">
        <v>1</v>
      </c>
      <c r="G45" s="158" t="s">
        <v>1328</v>
      </c>
      <c r="H45" s="129"/>
      <c r="I45" s="129"/>
      <c r="J45" s="3633" t="s">
        <v>1329</v>
      </c>
      <c r="K45" s="3633"/>
      <c r="L45" s="3633"/>
      <c r="M45" s="3633"/>
      <c r="N45" s="3633"/>
      <c r="O45" s="3633"/>
    </row>
    <row r="46" spans="1:15" ht="14.25" customHeight="1">
      <c r="A46" s="3552" t="s">
        <v>1330</v>
      </c>
      <c r="B46" s="3553"/>
      <c r="C46" s="3553"/>
      <c r="D46" s="3553"/>
      <c r="E46" s="3553"/>
      <c r="F46" s="3553"/>
      <c r="G46" s="3554"/>
      <c r="H46" s="1806"/>
      <c r="I46" s="159"/>
      <c r="J46" s="2521">
        <v>1</v>
      </c>
      <c r="K46" s="3614" t="s">
        <v>1331</v>
      </c>
      <c r="L46" s="3614"/>
      <c r="M46" s="3634"/>
      <c r="N46" s="3634"/>
      <c r="O46" s="3634"/>
    </row>
    <row r="47" spans="1:15" ht="12" customHeight="1">
      <c r="A47" s="160" t="s">
        <v>1332</v>
      </c>
      <c r="B47" s="161"/>
      <c r="C47" s="162"/>
      <c r="D47" s="1087" t="s">
        <v>1333</v>
      </c>
      <c r="E47" s="302" t="s">
        <v>1334</v>
      </c>
      <c r="F47" s="163" t="s">
        <v>1335</v>
      </c>
      <c r="G47" s="2544" t="s">
        <v>1336</v>
      </c>
      <c r="H47" s="2545"/>
      <c r="I47" s="159"/>
      <c r="J47" s="2521">
        <v>2</v>
      </c>
      <c r="K47" s="3614" t="s">
        <v>1337</v>
      </c>
      <c r="L47" s="3614"/>
      <c r="M47" s="3635">
        <f>'数据-取费表'!B2</f>
        <v>45153</v>
      </c>
      <c r="N47" s="3635"/>
      <c r="O47" s="3635"/>
    </row>
    <row r="48" spans="1:15" ht="25.5">
      <c r="A48" s="3583" t="s">
        <v>1338</v>
      </c>
      <c r="B48" s="3566"/>
      <c r="C48" s="3566"/>
      <c r="D48" s="2324" t="b">
        <f>IF(H48="情况1",0,IF(H48="情况2",D52,IF(H48="情况3",D53,IF(H48="情况4",D54))))</f>
        <v>0</v>
      </c>
      <c r="E48" s="2334" t="str">
        <f>IF(H48="情况4","(销售额-原购置价)×税（费）率","销售额×税（费）率")</f>
        <v>销售额×税（费）率</v>
      </c>
      <c r="F48" s="2546">
        <f>IF(H48="情况1","免征",'数据-取费表'!B41)</f>
        <v>5.6000000000000001E-2</v>
      </c>
      <c r="G48" s="2547" t="s">
        <v>1339</v>
      </c>
      <c r="H48" s="2548"/>
      <c r="I48" s="1806"/>
      <c r="J48" s="2521">
        <v>3</v>
      </c>
      <c r="K48" s="3614" t="s">
        <v>1340</v>
      </c>
      <c r="L48" s="3614"/>
      <c r="M48" s="3636" t="e">
        <f ca="1">H101</f>
        <v>#REF!</v>
      </c>
      <c r="N48" s="3636"/>
      <c r="O48" s="3636"/>
    </row>
    <row r="49" spans="1:35" ht="25.5" customHeight="1">
      <c r="A49" s="2333" t="s">
        <v>1341</v>
      </c>
      <c r="B49" s="3550" t="s">
        <v>1342</v>
      </c>
      <c r="C49" s="3550"/>
      <c r="D49" s="1590">
        <v>0</v>
      </c>
      <c r="E49" s="324" t="s">
        <v>1343</v>
      </c>
      <c r="F49" s="2424" t="s">
        <v>28</v>
      </c>
      <c r="G49" s="3620"/>
      <c r="H49" s="2310" t="s">
        <v>2134</v>
      </c>
      <c r="I49" s="2311"/>
      <c r="J49" s="2521">
        <v>4</v>
      </c>
      <c r="K49" s="3614" t="str">
        <f>IF(项目基本情况!E8="房地产抵押价值","房地产抵押价值","抵押担保权已注销时的房地产抵押价值")</f>
        <v>抵押担保权已注销时的房地产抵押价值</v>
      </c>
      <c r="L49" s="3614"/>
      <c r="M49" s="3636" t="str">
        <f>IF(项目基本情况!E8="房地产抵押价值",H107,H109)</f>
        <v>——</v>
      </c>
      <c r="N49" s="3636"/>
      <c r="O49" s="3636"/>
    </row>
    <row r="50" spans="1:35" ht="25.5" customHeight="1">
      <c r="A50" s="2549"/>
      <c r="B50" s="3550" t="s">
        <v>1344</v>
      </c>
      <c r="C50" s="3550"/>
      <c r="D50" s="2550"/>
      <c r="E50" s="332"/>
      <c r="F50" s="2424"/>
      <c r="G50" s="3621"/>
      <c r="H50" s="2312" t="s">
        <v>2135</v>
      </c>
      <c r="I50" s="2311"/>
      <c r="J50" s="3633" t="s">
        <v>1345</v>
      </c>
      <c r="K50" s="3633"/>
      <c r="L50" s="3633"/>
      <c r="M50" s="3633"/>
      <c r="N50" s="3633"/>
      <c r="O50" s="3633"/>
    </row>
    <row r="51" spans="1:35" ht="20.45" customHeight="1">
      <c r="A51" s="2551"/>
      <c r="B51" s="3550" t="s">
        <v>1346</v>
      </c>
      <c r="C51" s="3550"/>
      <c r="D51" s="1087"/>
      <c r="E51" s="327"/>
      <c r="F51" s="2424"/>
      <c r="G51" s="3622"/>
      <c r="H51" s="2312" t="s">
        <v>2136</v>
      </c>
      <c r="I51" s="2311"/>
      <c r="J51" s="2522" t="s">
        <v>1347</v>
      </c>
      <c r="K51" s="3614" t="s">
        <v>1348</v>
      </c>
      <c r="L51" s="3614"/>
      <c r="M51" s="2522" t="s">
        <v>1349</v>
      </c>
      <c r="N51" s="2522" t="s">
        <v>1350</v>
      </c>
      <c r="O51" s="2522" t="s">
        <v>1351</v>
      </c>
    </row>
    <row r="52" spans="1:35" ht="24" customHeight="1">
      <c r="A52" s="2335" t="s">
        <v>1352</v>
      </c>
      <c r="B52" s="3550" t="s">
        <v>1353</v>
      </c>
      <c r="C52" s="3550"/>
      <c r="D52" s="1087" t="e">
        <f ca="1">ROUND(D45*'数据-取费表'!B41/(1+'数据-取费表'!C42),0)</f>
        <v>#REF!</v>
      </c>
      <c r="E52" s="2334" t="s">
        <v>1354</v>
      </c>
      <c r="F52" s="2552">
        <f>'数据-取费表'!B41</f>
        <v>5.6000000000000001E-2</v>
      </c>
      <c r="G52" s="2553"/>
      <c r="H52" s="2542"/>
      <c r="I52" s="1807"/>
      <c r="J52" s="2521">
        <v>1</v>
      </c>
      <c r="K52" s="3615" t="s">
        <v>1355</v>
      </c>
      <c r="L52" s="3615"/>
      <c r="M52" s="2523" t="b">
        <f>D48</f>
        <v>0</v>
      </c>
      <c r="N52" s="2521" t="str">
        <f>E48</f>
        <v>销售额×税（费）率</v>
      </c>
      <c r="O52" s="2524">
        <f>F48</f>
        <v>5.6000000000000001E-2</v>
      </c>
    </row>
    <row r="53" spans="1:35" ht="12" customHeight="1">
      <c r="A53" s="2335" t="s">
        <v>1356</v>
      </c>
      <c r="B53" s="3576" t="s">
        <v>2289</v>
      </c>
      <c r="C53" s="3577"/>
      <c r="D53" s="1087" t="e">
        <f ca="1">ROUND(D45*'数据-取费表'!B41/(1+'数据-取费表'!C42),0)</f>
        <v>#REF!</v>
      </c>
      <c r="E53" s="2334" t="s">
        <v>1354</v>
      </c>
      <c r="F53" s="2552">
        <f>'数据-取费表'!B41</f>
        <v>5.6000000000000001E-2</v>
      </c>
      <c r="G53" s="2553"/>
      <c r="H53" s="2542"/>
      <c r="I53" s="1807"/>
      <c r="J53" s="2521">
        <v>2</v>
      </c>
      <c r="K53" s="3615" t="s">
        <v>1357</v>
      </c>
      <c r="L53" s="3615"/>
      <c r="M53" s="2523" t="e">
        <f t="shared" ref="M53:O54" ca="1" si="0">D55</f>
        <v>#REF!</v>
      </c>
      <c r="N53" s="2521" t="str">
        <f t="shared" si="0"/>
        <v>销售额×税（费）率</v>
      </c>
      <c r="O53" s="2524" t="str">
        <f t="shared" si="0"/>
        <v>免征</v>
      </c>
    </row>
    <row r="54" spans="1:35" ht="12" customHeight="1">
      <c r="A54" s="2335" t="s">
        <v>1358</v>
      </c>
      <c r="B54" s="3576" t="s">
        <v>2290</v>
      </c>
      <c r="C54" s="3577"/>
      <c r="D54" s="1087" t="e">
        <f ca="1">C68</f>
        <v>#REF!</v>
      </c>
      <c r="E54" s="327" t="s">
        <v>1359</v>
      </c>
      <c r="F54" s="2552">
        <f>'数据-取费表'!B41</f>
        <v>5.6000000000000001E-2</v>
      </c>
      <c r="G54" s="2553"/>
      <c r="H54" s="2554"/>
      <c r="I54" s="1807"/>
      <c r="J54" s="2521">
        <v>3</v>
      </c>
      <c r="K54" s="3615" t="s">
        <v>1360</v>
      </c>
      <c r="L54" s="3615"/>
      <c r="M54" s="2523" t="e">
        <f t="shared" ca="1" si="0"/>
        <v>#REF!</v>
      </c>
      <c r="N54" s="2521" t="str">
        <f t="shared" si="0"/>
        <v>增值额×税（费）率</v>
      </c>
      <c r="O54" s="2525" t="str">
        <f t="shared" si="0"/>
        <v>免征</v>
      </c>
    </row>
    <row r="55" spans="1:35" ht="24" customHeight="1">
      <c r="A55" s="3565" t="s">
        <v>1361</v>
      </c>
      <c r="B55" s="3566"/>
      <c r="C55" s="3566"/>
      <c r="D55" s="2324" t="e">
        <f ca="1">IF(H55="个人住宅",0,ROUND(D45*I55,0))</f>
        <v>#REF!</v>
      </c>
      <c r="E55" s="2334" t="s">
        <v>1362</v>
      </c>
      <c r="F55" s="2552" t="str">
        <f>IF(H55="正常",I55,"免征")</f>
        <v>免征</v>
      </c>
      <c r="G55" s="2553"/>
      <c r="H55" s="2548"/>
      <c r="I55" s="165">
        <f>'数据-取费表'!B49</f>
        <v>5.0000000000000001E-4</v>
      </c>
      <c r="J55" s="2521">
        <f>IF(H59="非个人房产","",4)</f>
        <v>4</v>
      </c>
      <c r="K55" s="3615" t="str">
        <f>IF(H59="非个人房产","——","个人所得税")</f>
        <v>个人所得税</v>
      </c>
      <c r="L55" s="3615"/>
      <c r="M55" s="2526" t="e">
        <f ca="1">D59</f>
        <v>#REF!</v>
      </c>
      <c r="N55" s="2040" t="str">
        <f>E59</f>
        <v>差额计税</v>
      </c>
      <c r="O55" s="2527">
        <f>F59</f>
        <v>0.01</v>
      </c>
    </row>
    <row r="56" spans="1:35" ht="24.75">
      <c r="A56" s="3565" t="s">
        <v>1363</v>
      </c>
      <c r="B56" s="3566"/>
      <c r="C56" s="3566"/>
      <c r="D56" s="2324" t="e">
        <f ca="1">IF(H56="个人住宅",D57,D58)</f>
        <v>#REF!</v>
      </c>
      <c r="E56" s="2334" t="s">
        <v>1364</v>
      </c>
      <c r="F56" s="2552" t="str">
        <f>IF(H56="正常",F58,"免征")</f>
        <v>免征</v>
      </c>
      <c r="G56" s="2555" t="s">
        <v>1365</v>
      </c>
      <c r="H56" s="2556"/>
      <c r="I56" s="1808"/>
      <c r="J56" s="2521" t="str">
        <f>IF(项目基本情况!K6="上海银行",IF(J55="",4,J55+1),"")</f>
        <v/>
      </c>
      <c r="K56" s="3638" t="str">
        <f>IF(项目基本情况!K6="上海银行","其他处置费用","")</f>
        <v/>
      </c>
      <c r="L56" s="3639"/>
      <c r="M56" s="2523" t="str">
        <f>IF(项目基本情况!K6="上海银行",M69,"")</f>
        <v/>
      </c>
      <c r="N56" s="3638" t="str">
        <f>IF(项目基本情况!K6="上海银行","包含处置中涉及的律师、诉讼、拍卖、评估等费用","")</f>
        <v/>
      </c>
      <c r="O56" s="3641"/>
    </row>
    <row r="57" spans="1:35" ht="12.75">
      <c r="A57" s="2335" t="s">
        <v>1341</v>
      </c>
      <c r="B57" s="3576" t="s">
        <v>1366</v>
      </c>
      <c r="C57" s="3577"/>
      <c r="D57" s="1590">
        <v>0</v>
      </c>
      <c r="E57" s="324" t="s">
        <v>1343</v>
      </c>
      <c r="F57" s="302"/>
      <c r="G57" s="2553"/>
      <c r="H57" s="2557"/>
      <c r="I57" s="1808"/>
      <c r="J57" s="3615">
        <f>IF(AND(J55="",J56=""),4,IF(项目基本情况!K6="上海银行",结果表!J56+1,结果表!J55+1))</f>
        <v>5</v>
      </c>
      <c r="K57" s="3615" t="s">
        <v>1367</v>
      </c>
      <c r="L57" s="2528" t="s">
        <v>1368</v>
      </c>
      <c r="M57" s="2529"/>
      <c r="N57" s="2530">
        <f ca="1">SUMIF(M52:M56,"&lt;9e307")</f>
        <v>0</v>
      </c>
      <c r="O57" s="2531"/>
      <c r="P57" s="2688" t="e">
        <f ca="1">N57/M49</f>
        <v>#VALUE!</v>
      </c>
    </row>
    <row r="58" spans="1:35" ht="24.75">
      <c r="A58" s="2335" t="s">
        <v>1352</v>
      </c>
      <c r="B58" s="3576" t="s">
        <v>1369</v>
      </c>
      <c r="C58" s="3550"/>
      <c r="D58" s="2324" t="e">
        <f ca="1">IF(H58="转让取得",C81,C97)</f>
        <v>#REF!</v>
      </c>
      <c r="E58" s="2334" t="s">
        <v>1364</v>
      </c>
      <c r="F58" s="302" t="s">
        <v>28</v>
      </c>
      <c r="G58" s="2553"/>
      <c r="H58" s="2556"/>
      <c r="I58" s="1808"/>
      <c r="J58" s="3615"/>
      <c r="K58" s="3615"/>
      <c r="L58" s="2528" t="s">
        <v>1370</v>
      </c>
      <c r="M58" s="2532"/>
      <c r="N58" s="2533" t="str">
        <f ca="1">NUMBERSTRING(INT(N57*10000),2)&amp;"元整"</f>
        <v>零元整</v>
      </c>
      <c r="O58" s="2534"/>
    </row>
    <row r="59" spans="1:35" ht="24.75" thickBot="1">
      <c r="A59" s="3618" t="s">
        <v>1371</v>
      </c>
      <c r="B59" s="3619"/>
      <c r="C59" s="3619"/>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16">
        <f>J57+1</f>
        <v>6</v>
      </c>
      <c r="K59" s="3615" t="s">
        <v>1372</v>
      </c>
      <c r="L59" s="2521" t="s">
        <v>1368</v>
      </c>
      <c r="M59" s="2535"/>
      <c r="N59" s="2536" t="e">
        <f ca="1">M49-N57</f>
        <v>#VALUE!</v>
      </c>
      <c r="O59" s="2537"/>
    </row>
    <row r="60" spans="1:35" ht="12" customHeight="1">
      <c r="A60" s="1809"/>
      <c r="B60" s="1747"/>
      <c r="C60" s="1747"/>
      <c r="D60" s="1747"/>
      <c r="E60" s="1578"/>
      <c r="F60" s="1808"/>
      <c r="G60" s="1808"/>
      <c r="H60" s="1810"/>
      <c r="I60" s="129"/>
      <c r="J60" s="3617"/>
      <c r="K60" s="3615"/>
      <c r="L60" s="2528" t="s">
        <v>1370</v>
      </c>
      <c r="M60" s="2532"/>
      <c r="N60" s="2533" t="e">
        <f ca="1">NUMBERSTRING(INT(N59*10000),2)&amp;"元整"</f>
        <v>#VALUE!</v>
      </c>
      <c r="O60" s="2534"/>
    </row>
    <row r="61" spans="1:35" ht="13.5" thickBot="1">
      <c r="A61" s="3563" t="s">
        <v>1373</v>
      </c>
      <c r="B61" s="3563"/>
      <c r="C61" s="3563"/>
      <c r="D61" s="3563"/>
      <c r="E61" s="3563"/>
      <c r="F61" s="1808"/>
      <c r="G61" s="1808"/>
      <c r="H61" s="1810"/>
      <c r="I61" s="129"/>
      <c r="J61" s="2521">
        <f>J59+1</f>
        <v>7</v>
      </c>
      <c r="K61" s="3615" t="s">
        <v>1374</v>
      </c>
      <c r="L61" s="3615"/>
      <c r="M61" s="2538"/>
      <c r="N61" s="2539" t="e">
        <f ca="1">ROUND(N59*10000/'数据-汇总表'!E3,0)</f>
        <v>#VALUE!</v>
      </c>
      <c r="O61" s="2540"/>
    </row>
    <row r="62" spans="1:35" ht="12.75">
      <c r="A62" s="3581" t="s">
        <v>1375</v>
      </c>
      <c r="B62" s="3582"/>
      <c r="C62" s="2021"/>
      <c r="D62" s="2021" t="s">
        <v>1376</v>
      </c>
      <c r="E62" s="166" t="s">
        <v>1377</v>
      </c>
      <c r="F62" s="1808"/>
      <c r="G62" s="1808"/>
      <c r="H62" s="1810"/>
      <c r="I62" s="129"/>
    </row>
    <row r="63" spans="1:35" ht="12.75">
      <c r="A63" s="173" t="s">
        <v>330</v>
      </c>
      <c r="B63" s="167" t="s">
        <v>1378</v>
      </c>
      <c r="C63" s="2562" t="e">
        <f ca="1">ROUND((C64+C65)/(1+'数据-取费表'!C42),0)</f>
        <v>#REF!</v>
      </c>
      <c r="D63" s="167"/>
      <c r="E63" s="168"/>
      <c r="F63" s="1808"/>
      <c r="G63" s="1808"/>
      <c r="H63" s="1810"/>
      <c r="I63" s="129"/>
      <c r="J63" s="3640" t="s">
        <v>1379</v>
      </c>
      <c r="K63" s="1332" t="s">
        <v>1380</v>
      </c>
      <c r="L63" s="1332" t="e">
        <f>IF(M49&gt;10000,M49*0.5%,IF(AND(M49&gt;1000,M49&lt;=10000),M49*1%,IF(AND(M49&gt;100,M49&lt;=1000),M49*3%,IF(AND(M49&gt;10,M49&lt;=100),M49*5%,M49*8%))))</f>
        <v>#VALUE!</v>
      </c>
      <c r="M63" s="302" t="e">
        <f>ROUND(L63,1)</f>
        <v>#VALUE!</v>
      </c>
      <c r="N63" s="2541"/>
      <c r="Z63" s="1752"/>
      <c r="AI63" s="1753"/>
    </row>
    <row r="64" spans="1:35" ht="14.25" customHeight="1">
      <c r="A64" s="169" t="s">
        <v>325</v>
      </c>
      <c r="B64" s="170" t="s">
        <v>1381</v>
      </c>
      <c r="C64" s="2563" t="e">
        <f ca="1">D45</f>
        <v>#REF!</v>
      </c>
      <c r="D64" s="170" t="s">
        <v>26</v>
      </c>
      <c r="E64" s="172"/>
      <c r="F64" s="1808"/>
      <c r="G64" s="1808"/>
      <c r="H64" s="1810"/>
      <c r="I64" s="129"/>
      <c r="J64" s="3640"/>
      <c r="K64" s="1332" t="s">
        <v>1382</v>
      </c>
      <c r="L64" s="1332"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42" t="s">
        <v>1383</v>
      </c>
      <c r="Z64" s="1752"/>
      <c r="AI64" s="1753"/>
    </row>
    <row r="65" spans="1:35" ht="14.25" customHeight="1">
      <c r="A65" s="169" t="s">
        <v>326</v>
      </c>
      <c r="B65" s="170" t="s">
        <v>1384</v>
      </c>
      <c r="C65" s="2564"/>
      <c r="D65" s="170"/>
      <c r="E65" s="172"/>
      <c r="F65" s="1808"/>
      <c r="G65" s="1808"/>
      <c r="H65" s="1810"/>
      <c r="I65" s="129"/>
      <c r="J65" s="3640"/>
      <c r="K65" s="1332" t="s">
        <v>1385</v>
      </c>
      <c r="L65" s="1332" t="e">
        <f>IF(M49&gt;1000,M49*0.1%,IF(AND(M49&gt;500,M49&lt;=1000),M49*0.5%,IF(AND(M49&gt;50,M49&lt;=500),M49*1%,IF(AND(M49&gt;1,M49&lt;=50),M49*1.5%))))</f>
        <v>#VALUE!</v>
      </c>
      <c r="M65" s="302" t="e">
        <f t="shared" si="1"/>
        <v>#VALUE!</v>
      </c>
      <c r="N65" s="2542" t="s">
        <v>1383</v>
      </c>
      <c r="Z65" s="1752"/>
      <c r="AI65" s="1753"/>
    </row>
    <row r="66" spans="1:35" ht="14.25" customHeight="1">
      <c r="A66" s="173" t="s">
        <v>327</v>
      </c>
      <c r="B66" s="174" t="s">
        <v>1386</v>
      </c>
      <c r="C66" s="2565"/>
      <c r="D66" s="174" t="s">
        <v>26</v>
      </c>
      <c r="E66" s="1338" t="s">
        <v>671</v>
      </c>
      <c r="F66" s="1808"/>
      <c r="G66" s="1808"/>
      <c r="H66" s="1810"/>
      <c r="I66" s="129"/>
      <c r="J66" s="3640"/>
      <c r="K66" s="1332" t="s">
        <v>1387</v>
      </c>
      <c r="L66" s="1332" t="e">
        <f>M49*0.5%</f>
        <v>#VALUE!</v>
      </c>
      <c r="M66" s="302" t="e">
        <f>IF(L66&gt;0.5,0.5,ROUND(L66,0))</f>
        <v>#VALUE!</v>
      </c>
      <c r="N66" s="2542" t="s">
        <v>1388</v>
      </c>
      <c r="Z66" s="1752"/>
      <c r="AI66" s="1753"/>
    </row>
    <row r="67" spans="1:35" ht="14.25" customHeight="1">
      <c r="A67" s="173" t="s">
        <v>328</v>
      </c>
      <c r="B67" s="174" t="s">
        <v>1389</v>
      </c>
      <c r="C67" s="2566" t="e">
        <f ca="1">C63-C66</f>
        <v>#REF!</v>
      </c>
      <c r="D67" s="170" t="s">
        <v>26</v>
      </c>
      <c r="E67" s="172"/>
      <c r="F67" s="1808"/>
      <c r="G67" s="1808"/>
      <c r="H67" s="1810"/>
      <c r="I67" s="129"/>
      <c r="J67" s="3640"/>
      <c r="K67" s="1332" t="s">
        <v>1390</v>
      </c>
      <c r="L67" s="1332"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41"/>
      <c r="Z67" s="1752"/>
      <c r="AI67" s="1753"/>
    </row>
    <row r="68" spans="1:35" ht="14.25" customHeight="1" thickBot="1">
      <c r="A68" s="176" t="s">
        <v>329</v>
      </c>
      <c r="B68" s="177" t="s">
        <v>1391</v>
      </c>
      <c r="C68" s="2567" t="e">
        <f ca="1">IF(C67&lt;=0,0,ROUND(C67*D68,0))</f>
        <v>#REF!</v>
      </c>
      <c r="D68" s="2568">
        <f>'数据-取费表'!B41</f>
        <v>5.6000000000000001E-2</v>
      </c>
      <c r="E68" s="178"/>
      <c r="F68" s="1808"/>
      <c r="G68" s="1808"/>
      <c r="H68" s="1810"/>
      <c r="I68" s="129"/>
      <c r="J68" s="3640"/>
      <c r="K68" s="1332" t="s">
        <v>1392</v>
      </c>
      <c r="L68" s="1332" t="e">
        <f>IF(M49&gt;10000,M49*0.5%,IF(AND(M49&gt;5000,M49&lt;=10000),M49*1%,IF(AND(M49&gt;1000,M49&lt;=5000),M49*2%,IF(AND(M49&gt;200,M49&lt;=1000),M49*3%,M49*5%))))</f>
        <v>#VALUE!</v>
      </c>
      <c r="M68" s="302" t="e">
        <f>ROUND(L68,1)</f>
        <v>#VALUE!</v>
      </c>
      <c r="N68" s="2541"/>
      <c r="Z68" s="1752"/>
      <c r="AI68" s="1753"/>
    </row>
    <row r="69" spans="1:35" s="1772" customFormat="1" ht="16.5" customHeight="1">
      <c r="A69" s="1811"/>
      <c r="B69" s="1812"/>
      <c r="C69" s="1813"/>
      <c r="D69" s="1814"/>
      <c r="E69" s="1815"/>
      <c r="F69" s="1578"/>
      <c r="G69" s="1578"/>
      <c r="H69" s="1577"/>
      <c r="I69" s="1747"/>
      <c r="J69" s="3640"/>
      <c r="K69" s="1332" t="s">
        <v>1393</v>
      </c>
      <c r="L69" s="1332"/>
      <c r="M69" s="302" t="e">
        <f>ROUND(SUM(M63:M68),0)</f>
        <v>#VALUE!</v>
      </c>
      <c r="N69" s="2543" t="e">
        <f>M69/M49</f>
        <v>#VALUE!</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602" t="s">
        <v>1394</v>
      </c>
      <c r="B70" s="3603"/>
      <c r="C70" s="3603"/>
      <c r="D70" s="3603"/>
      <c r="E70" s="3603"/>
      <c r="F70" s="3603"/>
      <c r="G70" s="3603"/>
      <c r="H70" s="360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81" t="s">
        <v>1375</v>
      </c>
      <c r="B71" s="358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t="e">
        <f ca="1">ROUND(D45/(1+'数据-取费表'!C42),0)</f>
        <v>#REF!</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t="e">
        <f ca="1">C74+C78</f>
        <v>#REF!</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76" t="s">
        <v>1402</v>
      </c>
      <c r="F76" s="3550"/>
      <c r="G76" s="3550"/>
      <c r="H76" s="360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t="e">
        <f ca="1">ROUND(D45*D78/(1+'数据-取费表'!C42),0)</f>
        <v>#REF!</v>
      </c>
      <c r="D78" s="2575">
        <f>'数据-取费表'!B43</f>
        <v>6.000000000000001E-3</v>
      </c>
      <c r="E78" s="3560" t="s">
        <v>1406</v>
      </c>
      <c r="F78" s="3561"/>
      <c r="G78" s="3561"/>
      <c r="H78" s="357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t="e">
        <f ca="1">C72-C73</f>
        <v>#REF!</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t="e">
        <f ca="1">IF(C79&lt;=0,0,C79/C73)</f>
        <v>#REF!</v>
      </c>
      <c r="D80" s="170" t="s">
        <v>26</v>
      </c>
      <c r="E80" s="2324" t="e">
        <f ca="1">IF(C80&gt;=200%,"增值额超过扣除项目金额200%",IF(C80&gt;=100%,"增值额超过扣除项目金额100%，未超过200%",IF(C80&gt;=50%,"增值额超过扣除项目金额50%，未超过100%",IF(C80&lt;50%,"增值额未超过扣除项目金额50%"))))</f>
        <v>#REF!</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602" t="s">
        <v>1410</v>
      </c>
      <c r="B83" s="3603"/>
      <c r="C83" s="3603"/>
      <c r="D83" s="3603"/>
      <c r="E83" s="3603"/>
      <c r="F83" s="3603"/>
      <c r="G83" s="3603"/>
      <c r="H83" s="360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81" t="s">
        <v>1375</v>
      </c>
      <c r="B84" s="358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t="e">
        <f ca="1">ROUND(D45/(1+'数据-取费表'!C42),0)</f>
        <v>#REF!</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t="e">
        <f ca="1">IF(H88="仅含出让金",C87+C90+C91+C92+C93+C94,C87+C91+C92+C93+C94)</f>
        <v>#REF!</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2286</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42" t="s">
        <v>2129</v>
      </c>
      <c r="H90" s="3643"/>
      <c r="I90" s="1821"/>
      <c r="J90" s="2519" t="s">
        <v>2287</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60" t="s">
        <v>1419</v>
      </c>
      <c r="F91" s="3561"/>
      <c r="G91" s="356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60" t="s">
        <v>1422</v>
      </c>
      <c r="F92" s="3561"/>
      <c r="G92" s="3561"/>
      <c r="H92" s="3570"/>
      <c r="I92" s="1821"/>
      <c r="J92" s="2520" t="s">
        <v>2288</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t="e">
        <f ca="1">ROUND(D45*D93/(1+'数据-取费表'!C42),0)</f>
        <v>#REF!</v>
      </c>
      <c r="D93" s="2575">
        <f>'数据-取费表'!B43</f>
        <v>6.000000000000001E-3</v>
      </c>
      <c r="E93" s="3560" t="s">
        <v>1406</v>
      </c>
      <c r="F93" s="3561"/>
      <c r="G93" s="3561"/>
      <c r="H93" s="357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71" t="s">
        <v>1426</v>
      </c>
      <c r="F94" s="3572"/>
      <c r="G94" s="3572"/>
      <c r="H94" s="357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t="e">
        <f ca="1">ROUND(C85-C86,0)</f>
        <v>#REF!</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t="e">
        <f ca="1">IF(C95&lt;=0,0,C95/C86)</f>
        <v>#REF!</v>
      </c>
      <c r="D96" s="170" t="s">
        <v>26</v>
      </c>
      <c r="E96" s="2324" t="e">
        <f ca="1">IF(C96&gt;=200%,"增值额超过扣除项目金额200%",IF(C96&gt;=100%,"增值额超过扣除项目金额100%，未超过200%",IF(C96&gt;=50%,"增值额超过扣除项目金额50%，未超过100%",IF(C96&lt;50%,"增值额未超过扣除项目金额50%"))))</f>
        <v>#REF!</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44" t="s">
        <v>1428</v>
      </c>
      <c r="B100" s="3545"/>
      <c r="C100" s="3545"/>
      <c r="D100" s="3562"/>
      <c r="E100" s="3545" t="s">
        <v>1429</v>
      </c>
      <c r="F100" s="3545"/>
      <c r="G100" s="3545"/>
      <c r="H100" s="3562"/>
      <c r="I100" s="129"/>
    </row>
    <row r="101" spans="1:35" ht="18.75" customHeight="1">
      <c r="A101" s="3623" t="s">
        <v>1430</v>
      </c>
      <c r="B101" s="3624"/>
      <c r="C101" s="2583" t="str">
        <f>C4</f>
        <v>收益法 (元)</v>
      </c>
      <c r="D101" s="2584" t="str">
        <f>D4</f>
        <v>比较法-住宅</v>
      </c>
      <c r="E101" s="3637" t="s">
        <v>1431</v>
      </c>
      <c r="F101" s="3594"/>
      <c r="G101" s="1827" t="s">
        <v>1432</v>
      </c>
      <c r="H101" s="2593" t="e">
        <f ca="1">H118</f>
        <v>#REF!</v>
      </c>
      <c r="I101" s="129"/>
    </row>
    <row r="102" spans="1:35" ht="18.75" customHeight="1">
      <c r="A102" s="3596" t="s">
        <v>1433</v>
      </c>
      <c r="B102" s="2582" t="s">
        <v>1432</v>
      </c>
      <c r="C102" s="2583">
        <f ca="1">IF(D32="楼面单价",ROUND(C19,0),C19)</f>
        <v>667.48479999999995</v>
      </c>
      <c r="D102" s="2584">
        <f ca="1">IF(D32="楼面单价",ROUND(D19,0),D19)</f>
        <v>1118.8764000000001</v>
      </c>
      <c r="E102" s="3637"/>
      <c r="F102" s="3594"/>
      <c r="G102" s="1827" t="s">
        <v>1434</v>
      </c>
      <c r="H102" s="2553" t="e">
        <f ca="1">I118</f>
        <v>#REF!</v>
      </c>
      <c r="I102" s="129"/>
    </row>
    <row r="103" spans="1:35" ht="42.75" customHeight="1">
      <c r="A103" s="3596"/>
      <c r="B103" s="2582" t="s">
        <v>1434</v>
      </c>
      <c r="C103" s="2585">
        <f ca="1">C20</f>
        <v>40965</v>
      </c>
      <c r="D103" s="2586">
        <f ca="1">D20</f>
        <v>68668</v>
      </c>
      <c r="E103" s="3631" t="s">
        <v>1435</v>
      </c>
      <c r="F103" s="3632"/>
      <c r="G103" s="1828" t="s">
        <v>1436</v>
      </c>
      <c r="H103" s="2593">
        <f>IF(D36="正常操作",H104+H105+H106,H105+H106)</f>
        <v>0</v>
      </c>
      <c r="I103" s="129"/>
    </row>
    <row r="104" spans="1:35" ht="18.75" customHeight="1">
      <c r="A104" s="3596" t="s">
        <v>1437</v>
      </c>
      <c r="B104" s="2587" t="s">
        <v>1432</v>
      </c>
      <c r="C104" s="2588" t="e">
        <f ca="1">H118</f>
        <v>#REF!</v>
      </c>
      <c r="D104" s="2589"/>
      <c r="E104" s="1674" t="s">
        <v>1438</v>
      </c>
      <c r="F104" s="1666"/>
      <c r="G104" s="1828" t="s">
        <v>1436</v>
      </c>
      <c r="H104" s="2594">
        <f>IF(D36="同一抵押权人同一抵押物续贷",C36&amp;"（续贷，未扣减，详见特别提示）",C36)</f>
        <v>0</v>
      </c>
      <c r="I104" s="129"/>
    </row>
    <row r="105" spans="1:35" ht="18.75" customHeight="1" thickBot="1">
      <c r="A105" s="3597"/>
      <c r="B105" s="2590" t="s">
        <v>1434</v>
      </c>
      <c r="C105" s="2591" t="e">
        <f ca="1">I118</f>
        <v>#REF!</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93" t="str">
        <f>IF(项目基本情况!E8="已注销","——","3.房地产抵押价值")</f>
        <v>3.房地产抵押价值</v>
      </c>
      <c r="F107" s="3594"/>
      <c r="G107" s="1827" t="s">
        <v>1432</v>
      </c>
      <c r="H107" s="2593" t="e">
        <f ca="1">IF(E107="——","——",H101-H103)</f>
        <v>#REF!</v>
      </c>
      <c r="I107" s="129"/>
    </row>
    <row r="108" spans="1:35" ht="18.75" customHeight="1">
      <c r="A108" s="129"/>
      <c r="B108" s="129"/>
      <c r="C108" s="129"/>
      <c r="D108" s="129"/>
      <c r="E108" s="3593"/>
      <c r="F108" s="3594"/>
      <c r="G108" s="1827" t="s">
        <v>1434</v>
      </c>
      <c r="H108" s="2553">
        <f ca="1">IF(H107=H101,H102,ROUND(H107*10000/'数据-汇总表'!E3,0))</f>
        <v>0</v>
      </c>
      <c r="I108" s="129"/>
    </row>
    <row r="109" spans="1:35" ht="18.75" customHeight="1">
      <c r="A109" s="129"/>
      <c r="B109" s="129"/>
      <c r="C109" s="129"/>
      <c r="D109" s="129"/>
      <c r="E109" s="3593" t="str">
        <f>IF(项目基本情况!E8="已注销及未注销","4.抵押担保权已注销时的房地产抵押价值",IF(项目基本情况!E8="已注销","3.抵押担保权已注销时的房地产抵押价值","——"))</f>
        <v>——</v>
      </c>
      <c r="F109" s="3594"/>
      <c r="G109" s="1827" t="s">
        <v>1432</v>
      </c>
      <c r="H109" s="2596" t="str">
        <f>IF(E109="——","——",H101-H105-H106)</f>
        <v>——</v>
      </c>
      <c r="I109" s="129"/>
    </row>
    <row r="110" spans="1:35" ht="18.75" customHeight="1">
      <c r="A110" s="129"/>
      <c r="B110" s="129"/>
      <c r="C110" s="129"/>
      <c r="D110" s="129"/>
      <c r="E110" s="3593"/>
      <c r="F110" s="3594"/>
      <c r="G110" s="1827" t="s">
        <v>1434</v>
      </c>
      <c r="H110" s="2553" t="str">
        <f>IF(H109="——","——",ROUND(H109*10000/'数据-汇总表'!E3,0))</f>
        <v>——</v>
      </c>
      <c r="I110" s="129"/>
    </row>
    <row r="111" spans="1:35" ht="18.75" customHeight="1">
      <c r="A111" s="129"/>
      <c r="B111" s="129"/>
      <c r="C111" s="129"/>
      <c r="D111" s="129"/>
      <c r="E111" s="3625" t="str">
        <f>IF(项目基本情况!E9="抵押净值",IF(OR(项目基本情况!E8="已注销",项目基本情况!E8="房地产抵押价值"),"4.抵押净值","5.抵押净值"),"——")</f>
        <v>——</v>
      </c>
      <c r="F111" s="3595"/>
      <c r="G111" s="1827" t="s">
        <v>1432</v>
      </c>
      <c r="H111" s="2593" t="str">
        <f>IF(E111="——","——",N59)</f>
        <v>——</v>
      </c>
      <c r="I111" s="129"/>
    </row>
    <row r="112" spans="1:35" ht="18.75" customHeight="1" thickBot="1">
      <c r="A112" s="129"/>
      <c r="B112" s="129"/>
      <c r="C112" s="129"/>
      <c r="D112" s="129"/>
      <c r="E112" s="3626"/>
      <c r="F112" s="3627"/>
      <c r="G112" s="1830" t="s">
        <v>1434</v>
      </c>
      <c r="H112" s="2597" t="str">
        <f>IF(E111="——","——",N61)</f>
        <v>——</v>
      </c>
      <c r="I112" s="129"/>
    </row>
    <row r="113" spans="1:27" ht="18.75" customHeight="1">
      <c r="A113" s="129"/>
      <c r="B113" s="129"/>
      <c r="C113" s="129"/>
      <c r="D113" s="129"/>
      <c r="E113" s="3598" t="s">
        <v>1440</v>
      </c>
      <c r="F113" s="3598"/>
      <c r="G113" s="3598"/>
      <c r="H113" s="3598"/>
      <c r="I113" s="129"/>
    </row>
    <row r="114" spans="1:27" ht="3.75" customHeight="1">
      <c r="A114" s="1747"/>
      <c r="B114" s="1747"/>
      <c r="C114" s="1747"/>
      <c r="D114" s="1747"/>
      <c r="E114" s="1809"/>
      <c r="F114" s="1809"/>
      <c r="G114" s="1809"/>
      <c r="H114" s="1809"/>
      <c r="I114" s="1747"/>
    </row>
    <row r="115" spans="1:27" ht="18.75" customHeight="1">
      <c r="A115" s="3608" t="s">
        <v>1442</v>
      </c>
      <c r="B115" s="3609"/>
      <c r="C115" s="3609"/>
      <c r="D115" s="3609"/>
      <c r="E115" s="3609"/>
      <c r="F115" s="3609"/>
      <c r="G115" s="3609"/>
      <c r="H115" s="3609"/>
      <c r="I115" s="3610"/>
    </row>
    <row r="116" spans="1:27" ht="27" customHeight="1">
      <c r="A116" s="3564" t="s">
        <v>1443</v>
      </c>
      <c r="B116" s="3599" t="s">
        <v>1444</v>
      </c>
      <c r="C116" s="3599" t="s">
        <v>1445</v>
      </c>
      <c r="D116" s="3612" t="s">
        <v>1446</v>
      </c>
      <c r="E116" s="3613"/>
      <c r="F116" s="3607" t="s">
        <v>1447</v>
      </c>
      <c r="G116" s="3607"/>
      <c r="H116" s="3564" t="s">
        <v>1448</v>
      </c>
      <c r="I116" s="3564"/>
    </row>
    <row r="117" spans="1:27" ht="18.75" customHeight="1">
      <c r="A117" s="3564"/>
      <c r="B117" s="3600"/>
      <c r="C117" s="360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162.94</v>
      </c>
      <c r="C118" s="2329">
        <f>M19</f>
        <v>0</v>
      </c>
      <c r="D118" s="2329" t="e">
        <f ca="1">ROUND(IF(D32="总价",C34,E118*B118/10000),0)</f>
        <v>#REF!</v>
      </c>
      <c r="E118" s="2329" t="e">
        <f ca="1">ROUND(IF(C33="自定义",IF(D32="楼面单价",C34,D118*10000/B118),I118-G118),0)</f>
        <v>#REF!</v>
      </c>
      <c r="F118" s="2329" t="e">
        <f ca="1">ROUND(IF(D32="总价",C35,G118*B118/10000),0)</f>
        <v>#REF!</v>
      </c>
      <c r="G118" s="2329" t="e">
        <f ca="1">ROUND(IF(D32="楼面单价",C35,F118*10000/B118),0)</f>
        <v>#REF!</v>
      </c>
      <c r="H118" s="2329" t="e">
        <f ca="1">ROUND(IF(D32="总价",C32,I118*B118/10000),0)</f>
        <v>#REF!</v>
      </c>
      <c r="I118" s="2329" t="e">
        <f ca="1">ROUND(IF(D32="楼面单价",C32,H118*10000/B118),0)</f>
        <v>#REF!</v>
      </c>
    </row>
    <row r="119" spans="1:27" ht="18.75" customHeight="1">
      <c r="A119" s="3564" t="s">
        <v>1452</v>
      </c>
      <c r="B119" s="3564"/>
      <c r="C119" s="3564"/>
      <c r="D119" s="3604" t="e">
        <f ca="1">NUMBERSTRING(INT(D118*10000),2)&amp;"元整"</f>
        <v>#REF!</v>
      </c>
      <c r="E119" s="3606"/>
      <c r="F119" s="3604" t="e">
        <f ca="1">NUMBERSTRING(INT(F118*10000),2)&amp;"元整"</f>
        <v>#REF!</v>
      </c>
      <c r="G119" s="3606"/>
      <c r="H119" s="3604" t="e">
        <f ca="1">NUMBERSTRING(INT(H118*10000),2)&amp;"元整"</f>
        <v>#REF!</v>
      </c>
      <c r="I119" s="3606"/>
    </row>
    <row r="120" spans="1:27" ht="18.75" customHeight="1">
      <c r="A120" s="3628" t="str">
        <f>IF(项目基本情况!B9="房地产市场价值","",MID(E103,3,LEN(E103)-2))</f>
        <v/>
      </c>
      <c r="B120" s="3629"/>
      <c r="C120" s="3630"/>
      <c r="D120" s="3628">
        <f>H103</f>
        <v>0</v>
      </c>
      <c r="E120" s="3629"/>
      <c r="F120" s="3629"/>
      <c r="G120" s="3629"/>
      <c r="H120" s="3629"/>
      <c r="I120" s="3630"/>
      <c r="J120" s="1752"/>
      <c r="K120" s="1752" t="str">
        <f>IF(D120=0,"故，本次评估不存在"&amp;A120,"故，本次评估"&amp;A120&amp;"为人民币"&amp;D120&amp;"万元整。")</f>
        <v>故，本次评估不存在</v>
      </c>
      <c r="L120" s="1752"/>
      <c r="M120" s="1752"/>
      <c r="N120" s="1752"/>
      <c r="O120" s="1752"/>
      <c r="P120" s="1752"/>
      <c r="Q120" s="1752"/>
      <c r="R120" s="1752"/>
      <c r="S120" s="1752"/>
    </row>
    <row r="121" spans="1:27" ht="18.75" customHeight="1">
      <c r="A121" s="3604" t="s">
        <v>1452</v>
      </c>
      <c r="B121" s="3605"/>
      <c r="C121" s="3606"/>
      <c r="D121" s="3604" t="str">
        <f>IF(D120=0,"零元整",NUMBERSTRING(INT(D120*10000),2)&amp;"元整")</f>
        <v>零元整</v>
      </c>
      <c r="E121" s="3605"/>
      <c r="F121" s="3605"/>
      <c r="G121" s="3605"/>
      <c r="H121" s="3605"/>
      <c r="I121" s="3606"/>
      <c r="AA121" s="725"/>
    </row>
    <row r="122" spans="1:27" ht="18.75" customHeight="1">
      <c r="A122" s="3595" t="str">
        <f>IF(项目基本情况!B9="房地产市场价值","",MID(E107,3,LEN(E107)-2))</f>
        <v/>
      </c>
      <c r="B122" s="3595"/>
      <c r="C122" s="3595"/>
      <c r="D122" s="3628" t="e">
        <f ca="1">H107</f>
        <v>#REF!</v>
      </c>
      <c r="E122" s="3629"/>
      <c r="F122" s="3629"/>
      <c r="G122" s="3629"/>
      <c r="H122" s="3629"/>
      <c r="I122" s="3630"/>
      <c r="AA122" s="725"/>
    </row>
    <row r="123" spans="1:27" ht="18.75" customHeight="1">
      <c r="A123" s="3564" t="s">
        <v>1452</v>
      </c>
      <c r="B123" s="3564"/>
      <c r="C123" s="3564"/>
      <c r="D123" s="3604" t="e">
        <f ca="1">NUMBERSTRING(INT(D122*10000),2)&amp;"元整"</f>
        <v>#REF!</v>
      </c>
      <c r="E123" s="3605"/>
      <c r="F123" s="3605"/>
      <c r="G123" s="3605"/>
      <c r="H123" s="3605"/>
      <c r="I123" s="3606"/>
      <c r="AA123" s="725"/>
    </row>
    <row r="124" spans="1:27" ht="18.75" customHeight="1">
      <c r="A124" s="3595" t="str">
        <f>IF(项目基本情况!B9="房地产市场价值","",MID(E109,3,LEN(E109)-2))</f>
        <v/>
      </c>
      <c r="B124" s="3595"/>
      <c r="C124" s="3595"/>
      <c r="D124" s="3628" t="str">
        <f>H109</f>
        <v>——</v>
      </c>
      <c r="E124" s="3629"/>
      <c r="F124" s="3629"/>
      <c r="G124" s="3629"/>
      <c r="H124" s="3629"/>
      <c r="I124" s="3630"/>
      <c r="AA124" s="725"/>
    </row>
    <row r="125" spans="1:27" ht="18.75" customHeight="1">
      <c r="A125" s="3564" t="s">
        <v>1452</v>
      </c>
      <c r="B125" s="3564"/>
      <c r="C125" s="3564"/>
      <c r="D125" s="3604" t="e">
        <f>NUMBERSTRING(INT(D124*10000),2)&amp;"元整"</f>
        <v>#VALUE!</v>
      </c>
      <c r="E125" s="3605"/>
      <c r="F125" s="3605"/>
      <c r="G125" s="3605"/>
      <c r="H125" s="3605"/>
      <c r="I125" s="3606"/>
      <c r="AA125" s="725"/>
    </row>
    <row r="126" spans="1:27" ht="18.75" customHeight="1">
      <c r="A126" s="3595" t="str">
        <f>IF(项目基本情况!B9="房地产市场价值","",MID(E111,3,LEN(E111)-2))</f>
        <v/>
      </c>
      <c r="B126" s="3595"/>
      <c r="C126" s="3595"/>
      <c r="D126" s="3628" t="str">
        <f>H111</f>
        <v>——</v>
      </c>
      <c r="E126" s="3629"/>
      <c r="F126" s="3629"/>
      <c r="G126" s="3629"/>
      <c r="H126" s="3629"/>
      <c r="I126" s="3630"/>
      <c r="AA126" s="725"/>
    </row>
    <row r="127" spans="1:27" ht="18.75" customHeight="1">
      <c r="A127" s="3564" t="s">
        <v>1452</v>
      </c>
      <c r="B127" s="3564"/>
      <c r="C127" s="3564"/>
      <c r="D127" s="3604" t="e">
        <f>NUMBERSTRING(INT(D126*10000),2)&amp;"元整"</f>
        <v>#VALUE!</v>
      </c>
      <c r="E127" s="3605"/>
      <c r="F127" s="3605"/>
      <c r="G127" s="3605"/>
      <c r="H127" s="3605"/>
      <c r="I127" s="3606"/>
      <c r="AA127" s="725"/>
    </row>
    <row r="128" spans="1:27" ht="21.75" customHeight="1">
      <c r="A128" s="3611" t="s">
        <v>1453</v>
      </c>
      <c r="B128" s="3611"/>
      <c r="C128" s="3611"/>
      <c r="D128" s="3611"/>
      <c r="E128" s="3611"/>
      <c r="F128" s="3611"/>
      <c r="G128" s="3611"/>
      <c r="H128" s="3611"/>
      <c r="I128" s="361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71</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4357</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C6+C7+C8</f>
        <v>0</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IF(G8="已包含在土地购买价格中","0",IF(B1="",'数据-取费表'!B29,IF(G9="全部缴纳",C9+C10,H9)))</f>
        <v>0</v>
      </c>
      <c r="D8" s="222"/>
      <c r="E8" s="220"/>
      <c r="F8" s="221"/>
      <c r="G8" s="1856"/>
    </row>
    <row r="9" spans="1:9" s="214" customFormat="1" ht="13.5" customHeight="1">
      <c r="A9" s="779" t="s">
        <v>355</v>
      </c>
      <c r="B9" s="224" t="s">
        <v>1478</v>
      </c>
      <c r="C9" s="225">
        <f ca="1">ROUND(D9*E9/10000,0)</f>
        <v>0</v>
      </c>
      <c r="D9" s="845">
        <f ca="1">IF(B1="",'数据-汇总表'!E5,IF(INDIRECT("'数据-取费表'!c"&amp;$G$1)="住宅",INDIRECT("'数据-取费表'!k"&amp;$G$1),0))</f>
        <v>162.94</v>
      </c>
      <c r="E9" s="225">
        <f>'数据-取费表'!B27</f>
        <v>0</v>
      </c>
      <c r="F9" s="221"/>
      <c r="G9" s="1857"/>
      <c r="H9" s="1137"/>
      <c r="I9" s="1858"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200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162.94</v>
      </c>
      <c r="E19" s="211">
        <f>'数据-取费表'!B31</f>
        <v>200</v>
      </c>
      <c r="F19" s="231"/>
      <c r="G19" s="1856"/>
    </row>
    <row r="20" spans="1:7" s="214" customFormat="1" ht="13.5" customHeight="1">
      <c r="A20" s="255" t="s">
        <v>1493</v>
      </c>
      <c r="B20" s="210" t="s">
        <v>1494</v>
      </c>
      <c r="C20" s="232">
        <f ca="1">ROUND((C5+C19)*F20,0)</f>
        <v>0</v>
      </c>
      <c r="D20" s="232"/>
      <c r="E20" s="232"/>
      <c r="F20" s="233">
        <f>'数据-取费表'!B37</f>
        <v>0.01</v>
      </c>
      <c r="G20" s="234" t="s">
        <v>1495</v>
      </c>
    </row>
    <row r="21" spans="1:7" s="214" customFormat="1" ht="13.5" customHeight="1">
      <c r="A21" s="255" t="s">
        <v>1496</v>
      </c>
      <c r="B21" s="210" t="s">
        <v>1497</v>
      </c>
      <c r="C21" s="235">
        <f>F21</f>
        <v>0.01</v>
      </c>
      <c r="D21" s="236" t="s">
        <v>1498</v>
      </c>
      <c r="E21" s="232"/>
      <c r="F21" s="233">
        <f>'数据-取费表'!B38</f>
        <v>0.01</v>
      </c>
      <c r="G21" s="234" t="s">
        <v>1499</v>
      </c>
    </row>
    <row r="22" spans="1:7" s="214" customFormat="1" ht="13.5" customHeight="1">
      <c r="A22" s="255" t="s">
        <v>1500</v>
      </c>
      <c r="B22" s="210" t="s">
        <v>1501</v>
      </c>
      <c r="C22" s="1104">
        <f ca="1">ROUND(SUM(C23:C25),0)</f>
        <v>0</v>
      </c>
      <c r="D22" s="235">
        <f ca="1">C26</f>
        <v>5.0000000000000001E-4</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0</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5.0000000000000001E-4</v>
      </c>
      <c r="D26" s="238"/>
      <c r="E26" s="241"/>
      <c r="F26" s="239"/>
      <c r="G26" s="243"/>
    </row>
    <row r="27" spans="1:7" s="214" customFormat="1" ht="24.75">
      <c r="A27" s="255" t="s">
        <v>1512</v>
      </c>
      <c r="B27" s="244" t="s">
        <v>1513</v>
      </c>
      <c r="C27" s="245">
        <f ca="1">C28</f>
        <v>1</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1</v>
      </c>
      <c r="D28" s="235"/>
      <c r="E28" s="236"/>
      <c r="F28" s="246"/>
      <c r="G28" s="247"/>
    </row>
    <row r="29" spans="1:7" s="214" customFormat="1" ht="13.5" customHeight="1">
      <c r="A29" s="780" t="s">
        <v>347</v>
      </c>
      <c r="B29" s="248" t="s">
        <v>1517</v>
      </c>
      <c r="C29" s="238">
        <f ca="1">ROUND(C21*F27*'数据-取费表'!B21/'数据-取费表'!B20,4)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68</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57</v>
      </c>
      <c r="D34" s="217"/>
      <c r="E34" s="220"/>
      <c r="F34" s="257">
        <f ca="1">IF('数据-取费表'!B24=0,1,IF(B1="",'数据-取费表'!N16,INDIRECT("'数据-取费表'!n"&amp;$G$1)))</f>
        <v>1</v>
      </c>
      <c r="G34" s="219" t="s">
        <v>1526</v>
      </c>
    </row>
    <row r="35" spans="1:7" ht="13.5" customHeight="1">
      <c r="A35" s="780" t="s">
        <v>351</v>
      </c>
      <c r="B35" s="215" t="s">
        <v>1527</v>
      </c>
      <c r="C35" s="220">
        <f ca="1">ROUND(C34*F35,0)</f>
        <v>2</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5</v>
      </c>
      <c r="D36" s="220"/>
      <c r="E36" s="220"/>
      <c r="F36" s="259">
        <f>'数据-取费表'!B34</f>
        <v>0.08</v>
      </c>
      <c r="G36" s="260" t="s">
        <v>1530</v>
      </c>
    </row>
    <row r="37" spans="1:7" s="258" customFormat="1" ht="13.5" customHeight="1">
      <c r="A37" s="780" t="s">
        <v>353</v>
      </c>
      <c r="B37" s="215" t="s">
        <v>1531</v>
      </c>
      <c r="C37" s="249">
        <f ca="1">ROUND(E37*D37*F34/10000,0)</f>
        <v>3</v>
      </c>
      <c r="D37" s="217">
        <f ca="1">D19</f>
        <v>162.94</v>
      </c>
      <c r="E37" s="249">
        <f>'数据-取费表'!B35</f>
        <v>200</v>
      </c>
      <c r="F37" s="259"/>
      <c r="G37" s="261" t="s">
        <v>1532</v>
      </c>
    </row>
    <row r="38" spans="1:7" ht="13.5" customHeight="1">
      <c r="A38" s="780" t="s">
        <v>354</v>
      </c>
      <c r="B38" s="215" t="s">
        <v>1533</v>
      </c>
      <c r="C38" s="220">
        <f ca="1">ROUND(C34*F38,0)</f>
        <v>1</v>
      </c>
      <c r="D38" s="220"/>
      <c r="E38" s="220"/>
      <c r="F38" s="259">
        <f>'数据-取费表'!B36</f>
        <v>1.4999999999999999E-2</v>
      </c>
      <c r="G38" s="219" t="s">
        <v>1528</v>
      </c>
    </row>
    <row r="39" spans="1:7" s="214" customFormat="1" ht="13.5" customHeight="1">
      <c r="A39" s="255" t="s">
        <v>1534</v>
      </c>
      <c r="B39" s="210" t="s">
        <v>1535</v>
      </c>
      <c r="C39" s="232">
        <f ca="1">ROUND(C33*F20,0)</f>
        <v>1</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3</v>
      </c>
      <c r="D42" s="238"/>
      <c r="E42" s="238"/>
      <c r="F42" s="239"/>
      <c r="G42" s="3644" t="s">
        <v>1544</v>
      </c>
    </row>
    <row r="43" spans="1:7" ht="13.5" customHeight="1">
      <c r="A43" s="780" t="s">
        <v>347</v>
      </c>
      <c r="B43" s="215" t="s">
        <v>1545</v>
      </c>
      <c r="C43" s="238">
        <f ca="1">ROUND(IF('数据-取费表'!B22&lt;=1,C39*F22*'数据-取费表'!B21/2,C39*(POWER((1+F22),'数据-取费表'!B21/2)-1)),0)</f>
        <v>0</v>
      </c>
      <c r="D43" s="238"/>
      <c r="E43" s="238"/>
      <c r="F43" s="239"/>
      <c r="G43" s="3645"/>
    </row>
    <row r="44" spans="1:7" ht="13.5" customHeight="1">
      <c r="A44" s="780" t="s">
        <v>348</v>
      </c>
      <c r="B44" s="215" t="s">
        <v>1546</v>
      </c>
      <c r="C44" s="238">
        <f ca="1">ROUND(IF('数据-取费表'!B22&lt;=1,C40*F22*'数据-取费表'!B21/2,C40*(POWER((1+F22),'数据-取费表'!B21/2)-1)),4)</f>
        <v>5.0000000000000001E-4</v>
      </c>
      <c r="D44" s="238"/>
      <c r="E44" s="238"/>
      <c r="F44" s="239"/>
      <c r="G44" s="3646"/>
    </row>
    <row r="45" spans="1:7" s="214" customFormat="1" ht="13.5" customHeight="1">
      <c r="A45" s="255" t="s">
        <v>1547</v>
      </c>
      <c r="B45" s="244" t="s">
        <v>1513</v>
      </c>
      <c r="C45" s="245">
        <f ca="1">C46</f>
        <v>17</v>
      </c>
      <c r="D45" s="235">
        <f ca="1">C47</f>
        <v>2.5000000000000001E-3</v>
      </c>
      <c r="E45" s="236" t="s">
        <v>1539</v>
      </c>
      <c r="F45" s="246">
        <f ca="1">F27</f>
        <v>0.25</v>
      </c>
      <c r="G45" s="247" t="s">
        <v>1548</v>
      </c>
    </row>
    <row r="46" spans="1:7" s="214" customFormat="1" ht="13.5" customHeight="1">
      <c r="A46" s="780" t="s">
        <v>346</v>
      </c>
      <c r="B46" s="248" t="s">
        <v>1549</v>
      </c>
      <c r="C46" s="249">
        <f ca="1">ROUND((C33+C39)*F27,0)</f>
        <v>17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1327">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95</v>
      </c>
      <c r="D49" s="232"/>
      <c r="E49" s="232"/>
      <c r="F49" s="264"/>
      <c r="G49" s="234" t="s">
        <v>1554</v>
      </c>
    </row>
    <row r="50" spans="1:7" s="258" customFormat="1" ht="24">
      <c r="A50" s="255" t="s">
        <v>1555</v>
      </c>
      <c r="B50" s="210" t="s">
        <v>1556</v>
      </c>
      <c r="C50" s="232"/>
      <c r="D50" s="232"/>
      <c r="E50" s="232"/>
      <c r="F50" s="264">
        <f>IF('数据-取费表'!B24=0,'数据-取费表'!N16,1)</f>
        <v>0.7</v>
      </c>
      <c r="G50" s="247" t="s">
        <v>1557</v>
      </c>
    </row>
    <row r="51" spans="1:7" ht="16.5" customHeight="1">
      <c r="A51" s="255" t="s">
        <v>1558</v>
      </c>
      <c r="B51" s="210" t="s">
        <v>1559</v>
      </c>
      <c r="C51" s="232">
        <f ca="1">ROUND(C49*F50,0)</f>
        <v>67</v>
      </c>
      <c r="D51" s="232"/>
      <c r="E51" s="232"/>
      <c r="F51" s="264"/>
      <c r="G51" s="234" t="s">
        <v>1560</v>
      </c>
    </row>
    <row r="52" spans="1:7" s="208" customFormat="1" ht="16.5" thickBot="1">
      <c r="A52" s="265" t="s">
        <v>1561</v>
      </c>
      <c r="B52" s="266"/>
      <c r="C52" s="267">
        <f ca="1">C31+C51</f>
        <v>71</v>
      </c>
      <c r="D52" s="266"/>
      <c r="E52" s="266"/>
      <c r="F52" s="266"/>
      <c r="G52" s="268"/>
    </row>
    <row r="55" spans="1:7" ht="15">
      <c r="B55" s="270" t="s">
        <v>1562</v>
      </c>
      <c r="C55" s="271"/>
    </row>
    <row r="56" spans="1:7">
      <c r="B56" s="273" t="s">
        <v>802</v>
      </c>
      <c r="C56" s="275">
        <f ca="1">1-C57</f>
        <v>5.600000000000005E-2</v>
      </c>
    </row>
    <row r="57" spans="1:7">
      <c r="B57" s="273" t="s">
        <v>803</v>
      </c>
      <c r="C57" s="274">
        <f ca="1">ROUND(C51/C52,3)</f>
        <v>0.94399999999999995</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61" t="str">
        <f>项目基本情况!B1</f>
        <v>北京市房地产市场价值预评估</v>
      </c>
      <c r="C37" s="3461"/>
      <c r="D37" s="3461"/>
      <c r="E37" s="3461"/>
      <c r="F37" s="3461"/>
      <c r="G37" s="3461"/>
      <c r="H37" s="3461"/>
      <c r="I37" s="3461"/>
    </row>
    <row r="38" spans="1:9">
      <c r="A38" s="844"/>
      <c r="B38" s="844"/>
    </row>
    <row r="39" spans="1:9">
      <c r="A39" s="842" t="s">
        <v>371</v>
      </c>
      <c r="B39" s="842" t="s">
        <v>373</v>
      </c>
    </row>
    <row r="40" spans="1:9">
      <c r="A40" s="842"/>
      <c r="B40" s="1474">
        <f>项目基本情况!B5</f>
        <v>0</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 ca="1">项目基本情况!K4</f>
        <v>陈颖（注册号：1120060040)、（注册号：0)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F39" sqref="F39:F48"/>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70.982200000000006</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4356</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0</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0</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162.94</v>
      </c>
      <c r="E9" s="225">
        <f>'数据-取费表'!B27</f>
        <v>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200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32588</v>
      </c>
      <c r="D19" s="849">
        <f ca="1">D9+D10</f>
        <v>162.94</v>
      </c>
      <c r="E19" s="211">
        <f>'数据-取费表'!B31</f>
        <v>200</v>
      </c>
      <c r="F19" s="231"/>
      <c r="G19" s="1856"/>
    </row>
    <row r="20" spans="1:7" s="214" customFormat="1" ht="13.5" customHeight="1">
      <c r="A20" s="255" t="s">
        <v>1574</v>
      </c>
      <c r="B20" s="210" t="s">
        <v>1575</v>
      </c>
      <c r="C20" s="232">
        <f ca="1">ROUND((C5+C19)*F20,0)</f>
        <v>326</v>
      </c>
      <c r="D20" s="232"/>
      <c r="E20" s="232"/>
      <c r="F20" s="233">
        <f>'数据-取费表'!B37</f>
        <v>0.01</v>
      </c>
      <c r="G20" s="234" t="s">
        <v>1576</v>
      </c>
    </row>
    <row r="21" spans="1:7" s="214" customFormat="1" ht="13.5" customHeight="1">
      <c r="A21" s="255" t="s">
        <v>1577</v>
      </c>
      <c r="B21" s="210" t="s">
        <v>1578</v>
      </c>
      <c r="C21" s="235">
        <f>F21</f>
        <v>0.01</v>
      </c>
      <c r="D21" s="236" t="s">
        <v>1579</v>
      </c>
      <c r="E21" s="232"/>
      <c r="F21" s="233">
        <f>'数据-取费表'!B38</f>
        <v>0.01</v>
      </c>
      <c r="G21" s="234" t="s">
        <v>1580</v>
      </c>
    </row>
    <row r="22" spans="1:7" s="214" customFormat="1" ht="13.5" customHeight="1">
      <c r="A22" s="255" t="s">
        <v>1581</v>
      </c>
      <c r="B22" s="210" t="s">
        <v>1582</v>
      </c>
      <c r="C22" s="1127">
        <f ca="1">ROUND(SUM(C23:C25),0)</f>
        <v>3184</v>
      </c>
      <c r="D22" s="235">
        <f ca="1">C26</f>
        <v>5.0000000000000001E-4</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0</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3169</v>
      </c>
      <c r="D24" s="238"/>
      <c r="E24" s="238"/>
      <c r="F24" s="239"/>
      <c r="G24" s="240" t="s">
        <v>1586</v>
      </c>
    </row>
    <row r="25" spans="1:7" s="214" customFormat="1" ht="24">
      <c r="A25" s="780" t="s">
        <v>1476</v>
      </c>
      <c r="B25" s="215" t="s">
        <v>1587</v>
      </c>
      <c r="C25" s="1128">
        <f ca="1">ROUND(IF('数据-取费表'!B22&lt;=1,C20*F22*'数据-取费表'!B22/2,C20*(POWER((1+F22),'数据-取费表'!B22/2)-1)),0)</f>
        <v>15</v>
      </c>
      <c r="D25" s="238"/>
      <c r="E25" s="241"/>
      <c r="F25" s="239"/>
      <c r="G25" s="242" t="s">
        <v>1588</v>
      </c>
    </row>
    <row r="26" spans="1:7" s="214" customFormat="1">
      <c r="A26" s="780" t="s">
        <v>350</v>
      </c>
      <c r="B26" s="215" t="s">
        <v>1511</v>
      </c>
      <c r="C26" s="238">
        <f ca="1">ROUND(IF('数据-取费表'!B22&lt;=1,F21*F22*'数据-取费表'!B22/2,F21*(POWER((1+F22),'数据-取费表'!B22/2)-1)),4)</f>
        <v>5.0000000000000001E-4</v>
      </c>
      <c r="D26" s="238"/>
      <c r="E26" s="241"/>
      <c r="F26" s="239"/>
      <c r="G26" s="243"/>
    </row>
    <row r="27" spans="1:7" s="214" customFormat="1" ht="24.75">
      <c r="A27" s="255" t="s">
        <v>1512</v>
      </c>
      <c r="B27" s="244" t="s">
        <v>1513</v>
      </c>
      <c r="C27" s="245">
        <f ca="1">C28</f>
        <v>8229</v>
      </c>
      <c r="D27" s="235">
        <f ca="1">C29</f>
        <v>2.5000000000000001E-3</v>
      </c>
      <c r="E27" s="236" t="s">
        <v>1514</v>
      </c>
      <c r="F27" s="246">
        <f ca="1">IF(B1="",'数据-取费表'!Q16,INDIRECT("'数据-取费表'!q"&amp;$G$1))</f>
        <v>0.25</v>
      </c>
      <c r="G27" s="247" t="s">
        <v>1515</v>
      </c>
    </row>
    <row r="28" spans="1:7" s="214" customFormat="1" ht="13.5" customHeight="1">
      <c r="A28" s="780" t="s">
        <v>346</v>
      </c>
      <c r="B28" s="248" t="s">
        <v>1516</v>
      </c>
      <c r="C28" s="249">
        <f ca="1">ROUND((C5+C19+C20)*F27,0)</f>
        <v>8229</v>
      </c>
      <c r="D28" s="235"/>
      <c r="E28" s="236"/>
      <c r="F28" s="246"/>
      <c r="G28" s="247"/>
    </row>
    <row r="29" spans="1:7" s="214" customFormat="1" ht="13.5" customHeight="1">
      <c r="A29" s="780" t="s">
        <v>347</v>
      </c>
      <c r="B29" s="248" t="s">
        <v>1517</v>
      </c>
      <c r="C29" s="238">
        <f ca="1">ROUND(C21*F27,4)</f>
        <v>2.5000000000000001E-3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47475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674164</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570290</v>
      </c>
      <c r="D34" s="217"/>
      <c r="E34" s="220"/>
      <c r="F34" s="257"/>
      <c r="G34" s="219"/>
    </row>
    <row r="35" spans="1:7" ht="13.5" customHeight="1">
      <c r="A35" s="780" t="s">
        <v>351</v>
      </c>
      <c r="B35" s="215" t="s">
        <v>1527</v>
      </c>
      <c r="C35" s="220">
        <f ca="1">ROUND(C34*F35,0)</f>
        <v>17109</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45623</v>
      </c>
      <c r="D36" s="220"/>
      <c r="E36" s="220"/>
      <c r="F36" s="259">
        <f>'数据-取费表'!B34</f>
        <v>0.08</v>
      </c>
      <c r="G36" s="260" t="s">
        <v>1530</v>
      </c>
    </row>
    <row r="37" spans="1:7" s="258" customFormat="1" ht="13.5" customHeight="1">
      <c r="A37" s="780" t="s">
        <v>353</v>
      </c>
      <c r="B37" s="215" t="s">
        <v>1531</v>
      </c>
      <c r="C37" s="249">
        <f ca="1">ROUND(E37*D37,0)</f>
        <v>32588</v>
      </c>
      <c r="D37" s="217">
        <f ca="1">D19</f>
        <v>162.94</v>
      </c>
      <c r="E37" s="249">
        <f>'数据-取费表'!B35</f>
        <v>200</v>
      </c>
      <c r="F37" s="259"/>
      <c r="G37" s="261"/>
    </row>
    <row r="38" spans="1:7" ht="13.5" customHeight="1">
      <c r="A38" s="780" t="s">
        <v>354</v>
      </c>
      <c r="B38" s="215" t="s">
        <v>1533</v>
      </c>
      <c r="C38" s="220">
        <f ca="1">ROUND(C34*F38,0)</f>
        <v>8554</v>
      </c>
      <c r="D38" s="220"/>
      <c r="E38" s="220"/>
      <c r="F38" s="259">
        <f>'数据-取费表'!B36</f>
        <v>1.4999999999999999E-2</v>
      </c>
      <c r="G38" s="219" t="s">
        <v>1528</v>
      </c>
    </row>
    <row r="39" spans="1:7" s="214" customFormat="1" ht="13.5" customHeight="1">
      <c r="A39" s="255" t="s">
        <v>1534</v>
      </c>
      <c r="B39" s="210" t="s">
        <v>1535</v>
      </c>
      <c r="C39" s="232">
        <f ca="1">ROUND(C33*F20,0)</f>
        <v>6742</v>
      </c>
      <c r="D39" s="232"/>
      <c r="E39" s="232"/>
      <c r="F39" s="233">
        <f>F20</f>
        <v>0.01</v>
      </c>
      <c r="G39" s="234" t="s">
        <v>1536</v>
      </c>
    </row>
    <row r="40" spans="1:7" s="214" customFormat="1" ht="13.5" customHeight="1">
      <c r="A40" s="255" t="s">
        <v>1537</v>
      </c>
      <c r="B40" s="210" t="s">
        <v>1538</v>
      </c>
      <c r="C40" s="1327">
        <f>F21</f>
        <v>0.01</v>
      </c>
      <c r="D40" s="236" t="s">
        <v>1539</v>
      </c>
      <c r="E40" s="232"/>
      <c r="F40" s="233">
        <f>F21</f>
        <v>0.01</v>
      </c>
      <c r="G40" s="234" t="s">
        <v>1540</v>
      </c>
    </row>
    <row r="41" spans="1:7" s="214" customFormat="1" ht="13.5" customHeight="1">
      <c r="A41" s="255" t="s">
        <v>1541</v>
      </c>
      <c r="B41" s="210" t="s">
        <v>1542</v>
      </c>
      <c r="C41" s="232">
        <f ca="1">ROUND(SUM(C42:C43),0)</f>
        <v>32343</v>
      </c>
      <c r="D41" s="235">
        <f ca="1">C44</f>
        <v>5.0000000000000001E-4</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32023</v>
      </c>
      <c r="D42" s="238"/>
      <c r="E42" s="238"/>
      <c r="F42" s="239"/>
      <c r="G42" s="3644" t="s">
        <v>1591</v>
      </c>
    </row>
    <row r="43" spans="1:7" ht="13.5" customHeight="1">
      <c r="A43" s="780" t="s">
        <v>347</v>
      </c>
      <c r="B43" s="215" t="s">
        <v>1545</v>
      </c>
      <c r="C43" s="238">
        <f ca="1">ROUND(IF('数据-取费表'!B22&lt;=1,C39*F22*'数据-取费表'!B20/2,C39*(POWER((1+F22),'数据-取费表'!B20/2)-1)),0)</f>
        <v>320</v>
      </c>
      <c r="D43" s="238"/>
      <c r="E43" s="238"/>
      <c r="F43" s="239"/>
      <c r="G43" s="3645"/>
    </row>
    <row r="44" spans="1:7" ht="13.5" customHeight="1">
      <c r="A44" s="780" t="s">
        <v>348</v>
      </c>
      <c r="B44" s="215" t="s">
        <v>1546</v>
      </c>
      <c r="C44" s="238">
        <f ca="1">ROUND(IF('数据-取费表'!B22&lt;=1,C40*F22*'数据-取费表'!B20/2,C40*(POWER((1+F22),'数据-取费表'!B20/2)-1)),4)</f>
        <v>5.0000000000000001E-4</v>
      </c>
      <c r="D44" s="238"/>
      <c r="E44" s="238"/>
      <c r="F44" s="239"/>
      <c r="G44" s="3646"/>
    </row>
    <row r="45" spans="1:7" s="214" customFormat="1" ht="13.5" customHeight="1">
      <c r="A45" s="255" t="s">
        <v>1547</v>
      </c>
      <c r="B45" s="244" t="s">
        <v>1513</v>
      </c>
      <c r="C45" s="245">
        <f ca="1">C46</f>
        <v>170227</v>
      </c>
      <c r="D45" s="235">
        <f ca="1">C47</f>
        <v>2.5000000000000001E-3</v>
      </c>
      <c r="E45" s="236" t="s">
        <v>1539</v>
      </c>
      <c r="F45" s="246">
        <f ca="1">F27</f>
        <v>0.25</v>
      </c>
      <c r="G45" s="247" t="s">
        <v>1548</v>
      </c>
    </row>
    <row r="46" spans="1:7" s="214" customFormat="1" ht="13.5" customHeight="1">
      <c r="A46" s="780" t="s">
        <v>346</v>
      </c>
      <c r="B46" s="248" t="s">
        <v>1549</v>
      </c>
      <c r="C46" s="249">
        <f ca="1">ROUND((C33+C39)*F27,0)</f>
        <v>170227</v>
      </c>
      <c r="D46" s="263"/>
      <c r="E46" s="236"/>
      <c r="F46" s="246"/>
      <c r="G46" s="247"/>
    </row>
    <row r="47" spans="1:7" s="214" customFormat="1" ht="13.5" customHeight="1">
      <c r="A47" s="780" t="s">
        <v>347</v>
      </c>
      <c r="B47" s="248" t="s">
        <v>1550</v>
      </c>
      <c r="C47" s="238">
        <f ca="1">ROUND(C40*F27,4)</f>
        <v>2.5000000000000001E-3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7" ht="16.5" customHeight="1">
      <c r="A49" s="255" t="s">
        <v>1518</v>
      </c>
      <c r="B49" s="210" t="s">
        <v>1592</v>
      </c>
      <c r="C49" s="232">
        <f ca="1">ROUND((C33+C39+C41+C45)/(1-C40-D41-D45-C48),0)</f>
        <v>946210</v>
      </c>
      <c r="D49" s="232"/>
      <c r="E49" s="232"/>
      <c r="F49" s="264"/>
      <c r="G49" s="234" t="s">
        <v>1554</v>
      </c>
    </row>
    <row r="50" spans="1:7" s="258" customFormat="1">
      <c r="A50" s="255" t="s">
        <v>1555</v>
      </c>
      <c r="B50" s="210" t="s">
        <v>1556</v>
      </c>
      <c r="C50" s="232"/>
      <c r="D50" s="232"/>
      <c r="E50" s="232"/>
      <c r="F50" s="264">
        <f>IF('数据-取费表'!B24=0,'数据-取费表'!N16,1)</f>
        <v>0.7</v>
      </c>
      <c r="G50" s="247"/>
    </row>
    <row r="51" spans="1:7" ht="16.5" customHeight="1">
      <c r="A51" s="255" t="s">
        <v>1558</v>
      </c>
      <c r="B51" s="210" t="s">
        <v>1593</v>
      </c>
      <c r="C51" s="232">
        <f ca="1">ROUND(C49*F50,0)</f>
        <v>662347</v>
      </c>
      <c r="D51" s="232"/>
      <c r="E51" s="232"/>
      <c r="F51" s="264"/>
      <c r="G51" s="234" t="s">
        <v>1560</v>
      </c>
    </row>
    <row r="52" spans="1:7" s="208" customFormat="1" ht="16.5" thickBot="1">
      <c r="A52" s="265" t="s">
        <v>1561</v>
      </c>
      <c r="B52" s="266"/>
      <c r="C52" s="267">
        <f ca="1">C31+C51</f>
        <v>709822</v>
      </c>
      <c r="D52" s="266"/>
      <c r="E52" s="266"/>
      <c r="F52" s="266"/>
      <c r="G52" s="268"/>
    </row>
    <row r="55" spans="1:7" ht="15">
      <c r="B55" s="270" t="s">
        <v>1562</v>
      </c>
      <c r="C55" s="271"/>
    </row>
    <row r="56" spans="1:7">
      <c r="B56" s="273" t="s">
        <v>802</v>
      </c>
      <c r="C56" s="275">
        <f ca="1">1-C57</f>
        <v>6.6999999999999948E-2</v>
      </c>
    </row>
    <row r="57" spans="1:7">
      <c r="B57" s="273" t="s">
        <v>803</v>
      </c>
      <c r="C57" s="274">
        <f ca="1">ROUND(C51/C52,3)</f>
        <v>0.93300000000000005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0.08</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162.94</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162.94</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162.94</v>
      </c>
      <c r="E19" s="21">
        <f>'数据-取费表'!B27</f>
        <v>0</v>
      </c>
      <c r="F19" s="804"/>
      <c r="G19" s="12"/>
      <c r="H19" s="1189"/>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200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0.01</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0.01</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（1）-（3）项×((1+年利率)^(建设期÷2)-1)</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t="e">
        <f ca="1">C40+J29+L46</f>
        <v>#DIV/0!</v>
      </c>
      <c r="C2" s="1387" t="s">
        <v>805</v>
      </c>
      <c r="D2" s="1387"/>
      <c r="E2" s="1388"/>
      <c r="F2" s="1389"/>
      <c r="G2" s="2704"/>
      <c r="H2" s="2693"/>
      <c r="I2" s="2693"/>
      <c r="J2" s="2693"/>
      <c r="K2" s="2694"/>
      <c r="L2" s="2693"/>
      <c r="M2" s="2693"/>
    </row>
    <row r="3" spans="1:37" ht="18" customHeight="1" thickBot="1">
      <c r="A3" s="1390" t="s">
        <v>806</v>
      </c>
      <c r="B3" s="1391">
        <f ca="1">IF(ISERROR(B2*10000/F43),0,ROUND(B2*10000/F43,0))</f>
        <v>0</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0</v>
      </c>
      <c r="D5" s="1364" t="s">
        <v>693</v>
      </c>
      <c r="E5" s="1071"/>
      <c r="F5" s="1072"/>
      <c r="G5" s="1384"/>
      <c r="H5" s="299">
        <v>1</v>
      </c>
      <c r="I5" s="300" t="s">
        <v>692</v>
      </c>
      <c r="J5" s="1070">
        <f ca="1">J6+J10+J12</f>
        <v>0</v>
      </c>
      <c r="K5" s="1364" t="s">
        <v>693</v>
      </c>
      <c r="L5" s="1071"/>
      <c r="M5" s="1072"/>
    </row>
    <row r="6" spans="1:37" ht="18" customHeight="1">
      <c r="A6" s="1069" t="s">
        <v>398</v>
      </c>
      <c r="B6" s="3649" t="s">
        <v>694</v>
      </c>
      <c r="C6" s="1074">
        <f ca="1">ROUND(F6*F8*F7*(1-F9)/10000,0)</f>
        <v>0</v>
      </c>
      <c r="D6" s="155" t="s">
        <v>2109</v>
      </c>
      <c r="E6" s="302" t="s">
        <v>696</v>
      </c>
      <c r="F6" s="303">
        <f ca="1">INDIRECT("'数据-取费表'!u"&amp;$G$1)</f>
        <v>0</v>
      </c>
      <c r="G6" s="1384"/>
      <c r="H6" s="1069" t="s">
        <v>398</v>
      </c>
      <c r="I6" s="3649" t="s">
        <v>694</v>
      </c>
      <c r="J6" s="301">
        <f ca="1">ROUND(M6*M8*M7*(1-M9)/10000,0)</f>
        <v>0</v>
      </c>
      <c r="K6" s="155" t="s">
        <v>2108</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0</v>
      </c>
      <c r="G7" s="1384"/>
      <c r="H7" s="304"/>
      <c r="I7" s="3650"/>
      <c r="J7" s="306"/>
      <c r="K7" s="307"/>
      <c r="L7" s="302" t="s">
        <v>697</v>
      </c>
      <c r="M7" s="303">
        <f ca="1">F7</f>
        <v>0</v>
      </c>
    </row>
    <row r="8" spans="1:37" ht="18" customHeight="1">
      <c r="A8" s="304"/>
      <c r="B8" s="3650"/>
      <c r="C8" s="306"/>
      <c r="D8" s="307"/>
      <c r="E8" s="302" t="s">
        <v>698</v>
      </c>
      <c r="F8" s="303">
        <f ca="1">INDIRECT("'数据-取费表'!ai"&amp;$G$1)</f>
        <v>0</v>
      </c>
      <c r="G8" s="1384"/>
      <c r="H8" s="304"/>
      <c r="I8" s="3650"/>
      <c r="J8" s="306"/>
      <c r="K8" s="307"/>
      <c r="L8" s="302" t="s">
        <v>698</v>
      </c>
      <c r="M8" s="303">
        <f ca="1">INDIRECT("'数据-取费表'!ai"&amp;$G$1)</f>
        <v>0</v>
      </c>
    </row>
    <row r="9" spans="1:37" ht="18" customHeight="1">
      <c r="A9" s="304"/>
      <c r="B9" s="3651"/>
      <c r="C9" s="306"/>
      <c r="D9" s="307"/>
      <c r="E9" s="302" t="s">
        <v>699</v>
      </c>
      <c r="F9" s="312">
        <f ca="1">INDIRECT("'数据-取费表'!w"&amp;$G$1)</f>
        <v>0</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ROUND(F17*(F43+INDIRECT("'数据-取费表'!S"&amp;$G$1))/10000,0)</f>
        <v>0</v>
      </c>
      <c r="D17" s="302" t="s">
        <v>717</v>
      </c>
      <c r="E17" s="302" t="s">
        <v>718</v>
      </c>
      <c r="F17" s="23">
        <f>'数据-取费表'!B35</f>
        <v>200</v>
      </c>
      <c r="G17" s="1396"/>
      <c r="H17" s="982" t="s">
        <v>398</v>
      </c>
      <c r="I17" s="302" t="s">
        <v>719</v>
      </c>
      <c r="J17" s="2316">
        <f ca="1">ROUND(IF(AND(项目基本情况!B11="自然人",项目基本情况!B10="北京市"),J6*M17/(1+'数据-取费表'!C42),J18+J19+J20),2)</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IF(K19="按租金收入计税",ROUND(J6*M19/(1+'数据-取费表'!C42),2),ROUND(C29*M19*0.7,2))</f>
        <v>0</v>
      </c>
      <c r="K19" s="1370" t="s">
        <v>3339</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0.01</v>
      </c>
      <c r="G20" s="1396"/>
      <c r="H20" s="982" t="s">
        <v>680</v>
      </c>
      <c r="I20" s="155" t="s">
        <v>730</v>
      </c>
      <c r="J20" s="22">
        <f ca="1">ROUND(M20*M21/10000,2)</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ROUND(J14*M22,2)</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ROUND(J13*M23,2)</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ROUND(J5*M24,2)</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ROUND(IF(AND(项目基本情况!B11="自然人",项目基本情况!B10="北京市"),C6*F31/(1+'数据-取费表'!C42),C32+C33+C34),2)</f>
        <v>0</v>
      </c>
      <c r="D31" s="1345" t="s">
        <v>720</v>
      </c>
      <c r="E31" s="1344" t="s">
        <v>770</v>
      </c>
      <c r="F31" s="2315">
        <f ca="1">IF(项目基本情况!B11="企业","——",IF(M47="住宅",IF(F6*F7*F8/12/(1+'数据-取费表'!F30)&gt;100000,4%,2.5%),IF(F6*F7*F8/12/(1+'数据-取费表'!F30)&gt;100000,12%,7%)))</f>
        <v>7.0000000000000007E-2</v>
      </c>
      <c r="G31" s="1384"/>
      <c r="H31" s="2806" t="s">
        <v>2308</v>
      </c>
      <c r="I31" s="1398"/>
      <c r="J31" s="1399"/>
      <c r="K31" s="2474"/>
      <c r="L31" s="2696"/>
      <c r="M31" s="2697"/>
    </row>
    <row r="32" spans="1:37" ht="18" customHeight="1">
      <c r="A32" s="982" t="s">
        <v>397</v>
      </c>
      <c r="B32" s="302" t="s">
        <v>723</v>
      </c>
      <c r="C32" s="21" t="str">
        <f>IF(项目基本情况!B11="自然人","——",ROUND(C6*F32/(1+'数据-取费表'!C42),2))</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IF(项目基本情况!B11="自然人","——",ROUND(F34*F35/10000,2))</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ROUND(C29*F36,2)</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ROUND(C13*F37,2)</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ROUND(C5*F38,2)</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ROUND(C40*10000/F43,0)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t="e">
        <f ca="1">C68-C40</f>
        <v>#DIV/0!</v>
      </c>
      <c r="D46" s="1406" t="str">
        <f>C2</f>
        <v>万元</v>
      </c>
      <c r="E46" s="1400"/>
      <c r="F46" s="1400"/>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1118"/>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0</v>
      </c>
      <c r="K53" s="3647" t="s">
        <v>837</v>
      </c>
      <c r="L53" s="3648"/>
      <c r="O53" s="1418" t="s">
        <v>409</v>
      </c>
      <c r="P53" s="1419" t="s">
        <v>838</v>
      </c>
      <c r="Q53" s="1420" t="e">
        <f ca="1">Q47+Q48</f>
        <v>#DIV/0!</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25.5" thickTop="1" thickBot="1">
      <c r="A56" s="957">
        <v>2</v>
      </c>
      <c r="B56" s="958" t="s">
        <v>704</v>
      </c>
      <c r="C56" s="232">
        <f ca="1">C13</f>
        <v>0</v>
      </c>
      <c r="D56" s="1447"/>
      <c r="E56" s="1448"/>
      <c r="F56" s="1440"/>
      <c r="I56" s="1449" t="s">
        <v>842</v>
      </c>
      <c r="J56" s="1450"/>
      <c r="K56" s="1421" t="s">
        <v>843</v>
      </c>
      <c r="L56" s="1424">
        <f ca="1">IF(L48&lt;J51,"——",L48-J53)</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845</v>
      </c>
      <c r="L57" s="1424">
        <f ca="1">IF(L48&lt;J51,"——",IF(L55="比较法",L49,IF(L55="基准地价",L50,L51)))</f>
        <v>0</v>
      </c>
      <c r="O57" s="1418" t="s">
        <v>404</v>
      </c>
      <c r="P57" s="1419" t="s">
        <v>846</v>
      </c>
      <c r="Q57" s="1420" t="e">
        <f ca="1">L60</f>
        <v>#DIV/0!</v>
      </c>
      <c r="R57" s="1420" t="s">
        <v>847</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IF(项目基本情况!B11="自然人","——",IF(D61="按租金收入计税",ROUND(C49*F61/(1+'数据-取费表'!C42),2),IF(D61="按房产原值计税",ROUND(C57*F61*0.7,2),INDIRECT("'数据-取费表'!Aj"&amp;$G$1))))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IF(项目基本情况!B11="自然人","——",ROUND(F62*F63/10000,2))</f>
        <v>——</v>
      </c>
      <c r="D62" s="965" t="s">
        <v>786</v>
      </c>
      <c r="E62" s="950" t="s">
        <v>787</v>
      </c>
      <c r="F62" s="325">
        <f t="shared" si="0"/>
        <v>0</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ROUND(C48*F66,2)</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ROUND(C68*10000/F71,0)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90" zoomScaleNormal="70" zoomScaleSheetLayoutView="90" workbookViewId="0">
      <selection activeCell="F40" sqref="F40"/>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3383</v>
      </c>
      <c r="D1" s="1362" t="s">
        <v>43</v>
      </c>
      <c r="E1" s="1363" t="s">
        <v>678</v>
      </c>
      <c r="F1" s="1062">
        <f ca="1">J53</f>
        <v>50</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f ca="1">ROUND(D2/10000,4)</f>
        <v>667.48479999999995</v>
      </c>
      <c r="C2" s="1387" t="s">
        <v>879</v>
      </c>
      <c r="D2" s="1471">
        <f ca="1">C40+J29+L46</f>
        <v>6674848</v>
      </c>
      <c r="E2" s="1388" t="s">
        <v>880</v>
      </c>
      <c r="F2" s="1389"/>
      <c r="G2" s="2704"/>
      <c r="H2" s="2693"/>
      <c r="I2" s="2693"/>
      <c r="J2" s="2693"/>
      <c r="K2" s="2694"/>
      <c r="L2" s="2693"/>
      <c r="M2" s="2693"/>
    </row>
    <row r="3" spans="1:37" ht="18" customHeight="1" thickBot="1">
      <c r="A3" s="1390" t="s">
        <v>881</v>
      </c>
      <c r="B3" s="1391">
        <f ca="1">IF(ISERROR(D2/F43),0,ROUND(D2/F43,0))</f>
        <v>40965</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189116</v>
      </c>
      <c r="D5" s="1364" t="s">
        <v>889</v>
      </c>
      <c r="E5" s="1071"/>
      <c r="F5" s="1072"/>
      <c r="G5" s="1384"/>
      <c r="H5" s="299">
        <v>1</v>
      </c>
      <c r="I5" s="300" t="s">
        <v>888</v>
      </c>
      <c r="J5" s="1070">
        <f ca="1">J6+J10+J12</f>
        <v>0</v>
      </c>
      <c r="K5" s="1364" t="s">
        <v>889</v>
      </c>
      <c r="L5" s="1071"/>
      <c r="M5" s="1072"/>
    </row>
    <row r="6" spans="1:37" ht="18" customHeight="1">
      <c r="A6" s="1069" t="s">
        <v>398</v>
      </c>
      <c r="B6" s="3649" t="s">
        <v>694</v>
      </c>
      <c r="C6" s="1074">
        <f ca="1">ROUND(F6*F8*F7*(1-F9),0)</f>
        <v>188880</v>
      </c>
      <c r="D6" s="155" t="s">
        <v>2106</v>
      </c>
      <c r="E6" s="302" t="s">
        <v>696</v>
      </c>
      <c r="F6" s="303">
        <f ca="1">INDIRECT("'数据-取费表'!u"&amp;$G$1)</f>
        <v>105</v>
      </c>
      <c r="G6" s="1384"/>
      <c r="H6" s="1069" t="s">
        <v>398</v>
      </c>
      <c r="I6" s="3649" t="s">
        <v>694</v>
      </c>
      <c r="J6" s="301">
        <f ca="1">ROUND(M6*M8*M7*(1-M9),0)</f>
        <v>0</v>
      </c>
      <c r="K6" s="1376" t="s">
        <v>2107</v>
      </c>
      <c r="L6" s="302" t="s">
        <v>696</v>
      </c>
      <c r="M6" s="303">
        <f ca="1">INDIRECT("'数据-取费表'!z"&amp;$G$1)</f>
        <v>0</v>
      </c>
    </row>
    <row r="7" spans="1:37" ht="18" customHeight="1">
      <c r="A7" s="1073"/>
      <c r="B7" s="3650"/>
      <c r="C7" s="1075"/>
      <c r="D7" s="307"/>
      <c r="E7" s="1076" t="s">
        <v>697</v>
      </c>
      <c r="F7" s="303">
        <f ca="1">IF(INDIRECT("'数据-取费表'!ah"&amp;$G$1)="",INDIRECT("'数据-取费表'!k"&amp;$G$1),INDIRECT("'数据-取费表'!ah"&amp;$G$1))</f>
        <v>162.94</v>
      </c>
      <c r="G7" s="1384"/>
      <c r="H7" s="304"/>
      <c r="I7" s="3650"/>
      <c r="J7" s="306"/>
      <c r="K7" s="307"/>
      <c r="L7" s="302" t="s">
        <v>697</v>
      </c>
      <c r="M7" s="303">
        <f ca="1">F7</f>
        <v>162.94</v>
      </c>
    </row>
    <row r="8" spans="1:37" ht="18" customHeight="1">
      <c r="A8" s="304"/>
      <c r="B8" s="3650"/>
      <c r="C8" s="306"/>
      <c r="D8" s="307"/>
      <c r="E8" s="302" t="s">
        <v>698</v>
      </c>
      <c r="F8" s="303">
        <f ca="1">INDIRECT("'数据-取费表'!ai"&amp;$G$1)</f>
        <v>12</v>
      </c>
      <c r="G8" s="1384"/>
      <c r="H8" s="304"/>
      <c r="I8" s="3650"/>
      <c r="J8" s="306"/>
      <c r="K8" s="307"/>
      <c r="L8" s="302" t="s">
        <v>698</v>
      </c>
      <c r="M8" s="303">
        <f ca="1">INDIRECT("'数据-取费表'!ai"&amp;$G$1)</f>
        <v>12</v>
      </c>
    </row>
    <row r="9" spans="1:37" ht="18" customHeight="1">
      <c r="A9" s="304"/>
      <c r="B9" s="3651"/>
      <c r="C9" s="306"/>
      <c r="D9" s="307"/>
      <c r="E9" s="302" t="s">
        <v>699</v>
      </c>
      <c r="F9" s="312">
        <f ca="1">INDIRECT("'数据-取费表'!w"&amp;$G$1)</f>
        <v>0.08</v>
      </c>
      <c r="G9" s="1384"/>
      <c r="H9" s="304"/>
      <c r="I9" s="3651"/>
      <c r="J9" s="306"/>
      <c r="K9" s="307"/>
      <c r="L9" s="313" t="s">
        <v>699</v>
      </c>
      <c r="M9" s="314">
        <f ca="1">INDIRECT("'数据-取费表'!ab"&amp;$G$1)</f>
        <v>0</v>
      </c>
    </row>
    <row r="10" spans="1:37" ht="18" customHeight="1">
      <c r="A10" s="1069" t="s">
        <v>402</v>
      </c>
      <c r="B10" s="1365" t="s">
        <v>700</v>
      </c>
      <c r="C10" s="316">
        <f ca="1">ROUND(IF(F10="押一",C6/12*F11,IF(F10="押二",C6/12*2*F11,IF(F10="押三",C6/12*3*F11,C11*F11))),0)</f>
        <v>236</v>
      </c>
      <c r="D10" s="1366" t="s">
        <v>2116</v>
      </c>
      <c r="E10" s="313" t="s">
        <v>701</v>
      </c>
      <c r="F10" s="1116" t="s">
        <v>3435</v>
      </c>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662347</v>
      </c>
      <c r="D13" s="1081" t="s">
        <v>705</v>
      </c>
      <c r="E13" s="1081" t="s">
        <v>706</v>
      </c>
      <c r="F13" s="1082">
        <f ca="1">INDIRECT("'数据-取费表'!y"&amp;$G$1)</f>
        <v>0.7</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570290</v>
      </c>
      <c r="D14" s="1345" t="s">
        <v>708</v>
      </c>
      <c r="E14" s="1342"/>
      <c r="F14" s="319"/>
      <c r="G14" s="1384"/>
      <c r="H14" s="982" t="s">
        <v>398</v>
      </c>
      <c r="I14" s="302" t="s">
        <v>709</v>
      </c>
      <c r="J14" s="21">
        <f ca="1">C29</f>
        <v>946210</v>
      </c>
      <c r="K14" s="12"/>
      <c r="L14" s="807"/>
      <c r="M14" s="808"/>
    </row>
    <row r="15" spans="1:37" s="1397" customFormat="1" ht="18" customHeight="1" thickBot="1">
      <c r="A15" s="982" t="s">
        <v>399</v>
      </c>
      <c r="B15" s="302" t="s">
        <v>710</v>
      </c>
      <c r="C15" s="21">
        <f ca="1">ROUND(C14*F15,0)</f>
        <v>17109</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45623</v>
      </c>
      <c r="D16" s="302" t="s">
        <v>711</v>
      </c>
      <c r="E16" s="302" t="s">
        <v>712</v>
      </c>
      <c r="F16" s="322">
        <f ca="1">IF(INDIRECT("'数据-取费表'!c"&amp;$G$1)="住宅",'数据-取费表'!B34,0)</f>
        <v>0.08</v>
      </c>
      <c r="G16" s="1384"/>
      <c r="H16" s="1079" t="s">
        <v>393</v>
      </c>
      <c r="I16" s="1080" t="s">
        <v>714</v>
      </c>
      <c r="J16" s="310">
        <f ca="1">ROUND(J17+J22+J23+J24,0)</f>
        <v>7570</v>
      </c>
      <c r="K16" s="1087" t="s">
        <v>715</v>
      </c>
      <c r="L16" s="1088"/>
      <c r="M16" s="1072"/>
    </row>
    <row r="17" spans="1:37" s="1397" customFormat="1" ht="18" customHeight="1">
      <c r="A17" s="982" t="s">
        <v>681</v>
      </c>
      <c r="B17" s="302" t="s">
        <v>716</v>
      </c>
      <c r="C17" s="21">
        <f ca="1">ROUND(F17*(F43+INDIRECT("'数据-取费表'!S"&amp;$G$1)),0)</f>
        <v>32588</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f ca="1">IF(项目基本情况!B11="企业","",IF('数据-取费表'!B10="住宅",IF(M6*M7*M8/12/(1+'数据-取费表'!F30)&gt;100000,4%,2.5%),IF(M6*M7*M8/12/(1+'数据-取费表'!F30)&gt;100000,12%,7%)))</f>
        <v>7.0000000000000007E-2</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8554</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5.6000000000000001E-2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674164</v>
      </c>
      <c r="D19" s="131" t="s">
        <v>726</v>
      </c>
      <c r="E19" s="1360"/>
      <c r="F19" s="23"/>
      <c r="G19" s="1384"/>
      <c r="H19" s="982" t="s">
        <v>399</v>
      </c>
      <c r="I19" s="302" t="s">
        <v>727</v>
      </c>
      <c r="J19" s="21">
        <f ca="1">IF(K19="按租金收入计税",ROUND(J6*M19/(1+'数据-取费表'!C42),0),ROUND(C29*M19*0.7,0))</f>
        <v>0</v>
      </c>
      <c r="K19" s="1370" t="s">
        <v>3339</v>
      </c>
      <c r="L19" s="302" t="s">
        <v>712</v>
      </c>
      <c r="M19" s="322">
        <f>IF(K19="按租金收入计税",'数据-取费表'!B51,'数据-取费表'!B50)</f>
        <v>0.12</v>
      </c>
    </row>
    <row r="20" spans="1:37" s="1397" customFormat="1" ht="18" customHeight="1">
      <c r="A20" s="982" t="s">
        <v>402</v>
      </c>
      <c r="B20" s="302" t="s">
        <v>728</v>
      </c>
      <c r="C20" s="21">
        <f ca="1">ROUND(C19*F20,0)</f>
        <v>6742</v>
      </c>
      <c r="D20" s="323" t="s">
        <v>729</v>
      </c>
      <c r="E20" s="302" t="s">
        <v>712</v>
      </c>
      <c r="F20" s="322">
        <f>'数据-取费表'!B37</f>
        <v>0.01</v>
      </c>
      <c r="G20" s="1396"/>
      <c r="H20" s="982" t="s">
        <v>680</v>
      </c>
      <c r="I20" s="155" t="s">
        <v>730</v>
      </c>
      <c r="J20" s="22">
        <f ca="1">ROUND(M20*M21,0)</f>
        <v>0</v>
      </c>
      <c r="K20" s="324" t="s">
        <v>731</v>
      </c>
      <c r="L20" s="302" t="s">
        <v>732</v>
      </c>
      <c r="M20" s="325">
        <f>'数据-取费表'!B52</f>
        <v>0</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0.01</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60"/>
      <c r="F22" s="23"/>
      <c r="G22" s="1384"/>
      <c r="H22" s="982" t="s">
        <v>402</v>
      </c>
      <c r="I22" s="302" t="s">
        <v>738</v>
      </c>
      <c r="J22" s="21">
        <f ca="1">ROUND(J14*M22,0)</f>
        <v>7570</v>
      </c>
      <c r="K22" s="1344" t="s">
        <v>739</v>
      </c>
      <c r="L22" s="302" t="s">
        <v>712</v>
      </c>
      <c r="M22" s="328">
        <f ca="1">INDIRECT("'数据-取费表'!Ak"&amp;$G$1)</f>
        <v>8.0000000000000002E-3</v>
      </c>
    </row>
    <row r="23" spans="1:37" s="1397" customFormat="1" ht="18" customHeight="1">
      <c r="A23" s="982" t="s">
        <v>397</v>
      </c>
      <c r="B23" s="302" t="s">
        <v>740</v>
      </c>
      <c r="C23" s="21">
        <f ca="1">IF('数据-取费表'!B22&lt;=1,ROUND(C19*F24*F23/2,0)+ROUND(C20*F24*F23/2,0),ROUND(C19*(POWER((1+F24),F23/2)-1),0)+ROUND(C20*(POWER((1+F24),F23/2)-1),0))</f>
        <v>32343</v>
      </c>
      <c r="D23" s="329" t="str">
        <f>IF(F23&lt;=1,"(建造成本+管理费用)×利率×(建设周期÷2)","(建造成本+管理费用)×((1+利率)^(建设周期÷2)-1)")</f>
        <v>(建造成本+管理费用)×((1+利率)^(建设周期÷2)-1)</v>
      </c>
      <c r="E23" s="302" t="s">
        <v>741</v>
      </c>
      <c r="F23" s="325">
        <f>'数据-取费表'!B20</f>
        <v>2</v>
      </c>
      <c r="G23" s="1396"/>
      <c r="H23" s="982" t="s">
        <v>437</v>
      </c>
      <c r="I23" s="302" t="s">
        <v>742</v>
      </c>
      <c r="J23" s="21">
        <f ca="1">ROUND(J13*M23,0)</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5.0000000000000001E-4</v>
      </c>
      <c r="D24" s="329" t="str">
        <f>IF(F23&lt;=1,"销售费用×利率×(建设周期÷2)","销售费用×((1+利率)^(建设周期÷2)-1)")</f>
        <v>销售费用×((1+利率)^(建设周期÷2)-1)</v>
      </c>
      <c r="E24" s="302" t="s">
        <v>747</v>
      </c>
      <c r="F24" s="331">
        <f ca="1">'数据-取费表'!B40</f>
        <v>4.7500000000000001E-2</v>
      </c>
      <c r="G24" s="1396"/>
      <c r="H24" s="1089" t="s">
        <v>684</v>
      </c>
      <c r="I24" s="1090" t="s">
        <v>728</v>
      </c>
      <c r="J24" s="1091">
        <f ca="1">ROUND(J5*M24,0)</f>
        <v>0</v>
      </c>
      <c r="K24" s="1092" t="s">
        <v>748</v>
      </c>
      <c r="L24" s="1090" t="s">
        <v>744</v>
      </c>
      <c r="M24" s="1086">
        <f ca="1">INDIRECT("'数据-取费表'!Am"&amp;$G$1)</f>
        <v>8.0000000000000002E-3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-7570</v>
      </c>
      <c r="K25" s="1095" t="s">
        <v>753</v>
      </c>
      <c r="L25" s="1096"/>
      <c r="M25" s="1097"/>
    </row>
    <row r="26" spans="1:37" ht="18" customHeight="1">
      <c r="A26" s="982" t="s">
        <v>397</v>
      </c>
      <c r="B26" s="302" t="s">
        <v>754</v>
      </c>
      <c r="C26" s="21">
        <f ca="1">ROUND((C19+C20)*F26,0)</f>
        <v>170227</v>
      </c>
      <c r="D26" s="323" t="s">
        <v>755</v>
      </c>
      <c r="E26" s="313" t="s">
        <v>756</v>
      </c>
      <c r="F26" s="312">
        <f ca="1">INDIRECT("'数据-取费表'!q"&amp;$G$1)</f>
        <v>0.25</v>
      </c>
      <c r="G26" s="1384"/>
      <c r="H26" s="299" t="s">
        <v>395</v>
      </c>
      <c r="I26" s="300" t="s">
        <v>757</v>
      </c>
      <c r="J26" s="301">
        <f ca="1">IF(J5&lt;&gt;0,ROUND(J25*(1-((1+M28)/(1+M26))^M27)/(M26-M28),0),0)</f>
        <v>0</v>
      </c>
      <c r="K26" s="324" t="s">
        <v>758</v>
      </c>
      <c r="L26" s="302" t="s">
        <v>759</v>
      </c>
      <c r="M26" s="312">
        <f ca="1">INDIRECT("'数据-取费表'!I"&amp;$G$1)</f>
        <v>4.4999999999999998E-2</v>
      </c>
    </row>
    <row r="27" spans="1:37" ht="18" customHeight="1">
      <c r="A27" s="982" t="s">
        <v>399</v>
      </c>
      <c r="B27" s="302" t="s">
        <v>760</v>
      </c>
      <c r="C27" s="21">
        <f ca="1">ROUND(F21*F26,4)</f>
        <v>2.5000000000000001E-3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5.33E-2</v>
      </c>
      <c r="D28" s="323" t="s">
        <v>765</v>
      </c>
      <c r="E28" s="302" t="s">
        <v>712</v>
      </c>
      <c r="F28" s="322">
        <f>'数据-取费表'!B41</f>
        <v>5.6000000000000001E-2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946210</v>
      </c>
      <c r="D29" s="1092"/>
      <c r="E29" s="1090"/>
      <c r="F29" s="1093"/>
      <c r="G29" s="1396"/>
      <c r="H29" s="334" t="s">
        <v>396</v>
      </c>
      <c r="I29" s="335" t="s">
        <v>768</v>
      </c>
      <c r="J29" s="336">
        <f ca="1">ROUND(J26/(1+F40)^F41,0)</f>
        <v>0</v>
      </c>
      <c r="K29" s="337" t="s">
        <v>769</v>
      </c>
      <c r="L29" s="338"/>
      <c r="M29" s="339">
        <f ca="1">INDIRECT("'数据-取费表'!k"&amp;$G$1)</f>
        <v>162.94</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14242</v>
      </c>
      <c r="D30" s="1087" t="s">
        <v>715</v>
      </c>
      <c r="E30" s="1088"/>
      <c r="F30" s="1072"/>
      <c r="G30" s="1384"/>
      <c r="H30" s="2695"/>
      <c r="I30" s="1398"/>
      <c r="J30" s="1399"/>
      <c r="K30" s="2474"/>
      <c r="L30" s="2696"/>
      <c r="M30" s="2697"/>
    </row>
    <row r="31" spans="1:37" ht="18" customHeight="1">
      <c r="A31" s="982" t="s">
        <v>398</v>
      </c>
      <c r="B31" s="302" t="s">
        <v>719</v>
      </c>
      <c r="C31" s="2316">
        <f ca="1">ROUND(IF(AND(项目基本情况!B11="自然人",项目基本情况!B10="北京市"),C6*F31/(1+'数据-取费表'!C42),C32+C33+C34),0)</f>
        <v>4497</v>
      </c>
      <c r="D31" s="1345" t="s">
        <v>720</v>
      </c>
      <c r="E31" s="1344" t="s">
        <v>770</v>
      </c>
      <c r="F31" s="2315">
        <f ca="1">IF(项目基本情况!B11="企业","——",IF(M47="住宅",IF(F6*F7*F8/12/(1+'数据-取费表'!F30)&gt;100000,4%,2.5%),IF(F6*F7*F8/12/(1+'数据-取费表'!F30)&gt;100000,12%,7%)))</f>
        <v>2.5000000000000001E-2</v>
      </c>
      <c r="G31" s="1384"/>
      <c r="H31" s="2806" t="s">
        <v>2308</v>
      </c>
      <c r="I31" s="1398"/>
      <c r="J31" s="1399"/>
      <c r="K31" s="2474"/>
      <c r="L31" s="2696"/>
      <c r="M31" s="2697"/>
    </row>
    <row r="32" spans="1:37" ht="18" customHeight="1">
      <c r="A32" s="982" t="s">
        <v>397</v>
      </c>
      <c r="B32" s="302" t="s">
        <v>723</v>
      </c>
      <c r="C32" s="21" t="str">
        <f>IF(项目基本情况!B11="自然人","——",ROUND(C6*F32/(1+'数据-取费表'!C42),0))</f>
        <v>——</v>
      </c>
      <c r="D32" s="1344" t="s">
        <v>724</v>
      </c>
      <c r="E32" s="302" t="s">
        <v>712</v>
      </c>
      <c r="F32" s="331">
        <f>'数据-取费表'!B41</f>
        <v>5.6000000000000001E-2</v>
      </c>
      <c r="G32" s="1384"/>
      <c r="H32" s="2695"/>
      <c r="I32" s="1398"/>
      <c r="J32" s="1399"/>
      <c r="K32" s="2474"/>
      <c r="L32" s="2696"/>
      <c r="M32" s="2697"/>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70" t="s">
        <v>3339</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t="str">
        <f>IF(项目基本情况!B11="自然人","——",ROUND(F34*F35,0))</f>
        <v>——</v>
      </c>
      <c r="D34" s="324" t="s">
        <v>731</v>
      </c>
      <c r="E34" s="302" t="s">
        <v>732</v>
      </c>
      <c r="F34" s="325">
        <f>'数据-取费表'!B52</f>
        <v>0</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7570</v>
      </c>
      <c r="D36" s="1344" t="s">
        <v>771</v>
      </c>
      <c r="E36" s="302" t="s">
        <v>712</v>
      </c>
      <c r="F36" s="328">
        <f ca="1">INDIRECT("'数据-取费表'!Ak"&amp;$G$1)</f>
        <v>8.0000000000000002E-3</v>
      </c>
      <c r="G36" s="1384"/>
      <c r="H36" s="2698"/>
      <c r="I36" s="1398"/>
      <c r="J36" s="1399"/>
      <c r="K36" s="2542"/>
      <c r="L36" s="2698"/>
      <c r="M36" s="2698"/>
    </row>
    <row r="37" spans="1:18" ht="18" customHeight="1">
      <c r="A37" s="982" t="s">
        <v>437</v>
      </c>
      <c r="B37" s="302" t="s">
        <v>742</v>
      </c>
      <c r="C37" s="21">
        <f ca="1">ROUND(C13*F37,0)</f>
        <v>662</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ROUND(C5*F38,0)</f>
        <v>1513</v>
      </c>
      <c r="D38" s="1092" t="s">
        <v>748</v>
      </c>
      <c r="E38" s="1090" t="s">
        <v>744</v>
      </c>
      <c r="F38" s="1086">
        <f ca="1">INDIRECT("'数据-取费表'!Am"&amp;$G$1)</f>
        <v>8.0000000000000002E-3</v>
      </c>
      <c r="G38" s="1384"/>
      <c r="H38" s="2698"/>
      <c r="I38" s="1398"/>
      <c r="J38" s="1399"/>
      <c r="K38" s="2702"/>
      <c r="L38" s="2698"/>
      <c r="M38" s="2698"/>
    </row>
    <row r="39" spans="1:18" ht="24.6" customHeight="1" thickTop="1">
      <c r="A39" s="1079" t="s">
        <v>394</v>
      </c>
      <c r="B39" s="1094" t="s">
        <v>772</v>
      </c>
      <c r="C39" s="310">
        <f ca="1">C5-C30</f>
        <v>174874</v>
      </c>
      <c r="D39" s="1095" t="s">
        <v>773</v>
      </c>
      <c r="E39" s="1096"/>
      <c r="F39" s="1097"/>
      <c r="G39" s="1384"/>
      <c r="H39" s="2698"/>
      <c r="I39" s="1398"/>
      <c r="J39" s="1399"/>
      <c r="K39" s="2702"/>
      <c r="L39" s="2698"/>
      <c r="M39" s="2698"/>
    </row>
    <row r="40" spans="1:18" ht="18" customHeight="1">
      <c r="A40" s="299" t="s">
        <v>395</v>
      </c>
      <c r="B40" s="300" t="s">
        <v>774</v>
      </c>
      <c r="C40" s="301">
        <f ca="1">ROUND(C39*(1-((1+F42)/(1+F40))^F41)/(F40-F42),0)</f>
        <v>6674848</v>
      </c>
      <c r="D40" s="324" t="s">
        <v>758</v>
      </c>
      <c r="E40" s="302" t="s">
        <v>759</v>
      </c>
      <c r="F40" s="312">
        <f ca="1">INDIRECT("'数据-取费表'!I"&amp;$G$1)</f>
        <v>4.4999999999999998E-2</v>
      </c>
      <c r="G40" s="1384"/>
      <c r="H40" s="1461"/>
      <c r="I40" s="1398"/>
      <c r="J40" s="1399"/>
      <c r="K40" s="2702"/>
      <c r="L40" s="1461"/>
      <c r="M40" s="1461"/>
    </row>
    <row r="41" spans="1:18" ht="18" customHeight="1">
      <c r="A41" s="304"/>
      <c r="B41" s="305"/>
      <c r="C41" s="306"/>
      <c r="D41" s="332" t="s">
        <v>775</v>
      </c>
      <c r="E41" s="302" t="s">
        <v>763</v>
      </c>
      <c r="F41" s="3460">
        <f ca="1">IF(INDIRECT("'数据-取费表'!af"&amp;$G$1)=0,INDIRECT("'数据-取费表'!ae"&amp;$G$1),INDIRECT("'数据-取费表'!af"&amp;$G$1))</f>
        <v>50</v>
      </c>
      <c r="G41" s="1384"/>
      <c r="H41" s="1191"/>
      <c r="I41" s="1398"/>
      <c r="J41" s="1399"/>
      <c r="K41" s="2542"/>
      <c r="L41" s="1191"/>
      <c r="M41" s="1191"/>
    </row>
    <row r="42" spans="1:18" ht="18" customHeight="1">
      <c r="A42" s="308"/>
      <c r="B42" s="309"/>
      <c r="C42" s="310"/>
      <c r="D42" s="327"/>
      <c r="E42" s="302" t="s">
        <v>766</v>
      </c>
      <c r="F42" s="312">
        <f ca="1">INDIRECT("'数据-取费表'!v"&amp;$G$1)</f>
        <v>3.5000000000000003E-2</v>
      </c>
      <c r="G42" s="1384"/>
      <c r="H42" s="1191"/>
      <c r="I42" s="1398"/>
      <c r="J42" s="1399"/>
      <c r="K42" s="2542"/>
      <c r="L42" s="1191"/>
      <c r="M42" s="1191"/>
    </row>
    <row r="43" spans="1:18" ht="18" customHeight="1" thickBot="1">
      <c r="A43" s="334" t="s">
        <v>396</v>
      </c>
      <c r="B43" s="335" t="s">
        <v>776</v>
      </c>
      <c r="C43" s="336">
        <f ca="1">ROUND(C40/F43,0)</f>
        <v>40965</v>
      </c>
      <c r="D43" s="337" t="s">
        <v>777</v>
      </c>
      <c r="E43" s="338" t="s">
        <v>778</v>
      </c>
      <c r="F43" s="339">
        <f ca="1">INDIRECT("'数据-取费表'!k"&amp;$G$1)</f>
        <v>162.94</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3355</v>
      </c>
      <c r="B45" s="1400"/>
      <c r="C45" s="1472">
        <f ca="1">ROUND((C68-C40)/10000,4)</f>
        <v>-683.75289999999995</v>
      </c>
      <c r="D45" s="3430" t="s">
        <v>3356</v>
      </c>
      <c r="E45" s="1400"/>
      <c r="F45" s="1400"/>
      <c r="O45" s="1403" t="s">
        <v>808</v>
      </c>
      <c r="P45" s="1461"/>
      <c r="Q45" s="1461"/>
      <c r="R45" s="1461"/>
    </row>
    <row r="46" spans="1:18" s="1384" customFormat="1" ht="13.5" thickBot="1">
      <c r="A46" s="1404" t="s">
        <v>809</v>
      </c>
      <c r="C46" s="1405">
        <f ca="1">ROUND(C45,0)</f>
        <v>-684</v>
      </c>
      <c r="D46" s="1406" t="str">
        <f>C2</f>
        <v>万元</v>
      </c>
      <c r="I46" s="1407" t="s">
        <v>810</v>
      </c>
      <c r="J46" s="1408"/>
      <c r="K46" s="1409"/>
      <c r="L46" s="1410">
        <f>IF(M47="住宅",0,IF(L48&gt;J51,L60,J60))</f>
        <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t="s">
        <v>3386</v>
      </c>
      <c r="K47" s="1416" t="s">
        <v>816</v>
      </c>
      <c r="L47" s="1417">
        <f ca="1">INDIRECT("'数据-取费表'!d"&amp;$G$1)</f>
        <v>70</v>
      </c>
      <c r="M47" s="1380" t="str">
        <f>IF(ISNUMBER(FIND("住宅",C1)),"住宅","非住宅")</f>
        <v>住宅</v>
      </c>
      <c r="O47" s="1418" t="s">
        <v>403</v>
      </c>
      <c r="P47" s="1419" t="s">
        <v>817</v>
      </c>
      <c r="Q47" s="1420">
        <f ca="1">C40+J29</f>
        <v>6674848</v>
      </c>
      <c r="R47" s="1420" t="s">
        <v>818</v>
      </c>
    </row>
    <row r="48" spans="1:18" s="1384" customFormat="1" ht="28.5" thickBot="1">
      <c r="A48" s="1110" t="s">
        <v>438</v>
      </c>
      <c r="B48" s="300" t="s">
        <v>692</v>
      </c>
      <c r="C48" s="1359">
        <f ca="1">C49+C53+C55</f>
        <v>0</v>
      </c>
      <c r="D48" s="1112"/>
      <c r="E48" s="1113"/>
      <c r="F48" s="962"/>
      <c r="G48" s="722"/>
      <c r="H48" s="723"/>
      <c r="I48" s="1421" t="s">
        <v>819</v>
      </c>
      <c r="J48" s="1422" t="s">
        <v>3387</v>
      </c>
      <c r="K48" s="1423" t="s">
        <v>820</v>
      </c>
      <c r="L48" s="1424">
        <f ca="1">INDIRECT("'数据-取费表'!f"&amp;$G$1)</f>
        <v>50</v>
      </c>
      <c r="O48" s="1418" t="s">
        <v>404</v>
      </c>
      <c r="P48" s="1419" t="s">
        <v>821</v>
      </c>
      <c r="Q48" s="1420" t="str">
        <f ca="1">J60</f>
        <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v>2005</v>
      </c>
      <c r="K49" s="1423" t="s">
        <v>824</v>
      </c>
      <c r="L49" s="1427"/>
      <c r="O49" s="1428" t="s">
        <v>405</v>
      </c>
      <c r="P49" s="1419" t="s">
        <v>825</v>
      </c>
      <c r="Q49" s="1420">
        <f ca="1">C29</f>
        <v>946210</v>
      </c>
      <c r="R49" s="1420" t="s">
        <v>818</v>
      </c>
    </row>
    <row r="50" spans="1:18" s="1384" customFormat="1" ht="13.5" thickBot="1">
      <c r="A50" s="976"/>
      <c r="B50" s="979"/>
      <c r="C50" s="980"/>
      <c r="D50" s="953"/>
      <c r="E50" s="1056" t="s">
        <v>697</v>
      </c>
      <c r="F50" s="1057">
        <f ca="1">F7</f>
        <v>162.94</v>
      </c>
      <c r="H50" s="723"/>
      <c r="I50" s="1421" t="s">
        <v>826</v>
      </c>
      <c r="J50" s="1429">
        <f>SUMPRODUCT((I63:I65=J47)*(J62:L62=J48)*(J63:L65))</f>
        <v>60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12</v>
      </c>
      <c r="I51" s="1432" t="s">
        <v>829</v>
      </c>
      <c r="J51" s="1433">
        <f>IF(J49="",J50,J49+J50-YEAR('数据-取费表'!B2))</f>
        <v>42</v>
      </c>
      <c r="K51" s="1434" t="s">
        <v>830</v>
      </c>
      <c r="L51" s="1435">
        <f ca="1">ROUND(-PV(INDIRECT("'数据-取费表'!h"&amp;$G$1),J51,(C39-C13*C76),0),0)</f>
        <v>2594049</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50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50</v>
      </c>
      <c r="K53" s="3647" t="s">
        <v>837</v>
      </c>
      <c r="L53" s="3648"/>
      <c r="O53" s="1418" t="s">
        <v>409</v>
      </c>
      <c r="P53" s="1419" t="s">
        <v>838</v>
      </c>
      <c r="Q53" s="1420">
        <f ca="1">Q47+Q48</f>
        <v>6674848</v>
      </c>
      <c r="R53" s="1420" t="s">
        <v>410</v>
      </c>
    </row>
    <row r="54" spans="1:18" s="1384" customFormat="1" ht="13.5" thickBot="1">
      <c r="A54" s="975"/>
      <c r="B54" s="1473" t="s">
        <v>891</v>
      </c>
      <c r="C54" s="959"/>
      <c r="D54" s="1366"/>
      <c r="E54" s="1374"/>
      <c r="F54" s="1440"/>
      <c r="I54" s="144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662347</v>
      </c>
      <c r="D56" s="1447"/>
      <c r="E56" s="1448"/>
      <c r="F56" s="1440"/>
      <c r="I56" s="1449" t="s">
        <v>842</v>
      </c>
      <c r="J56" s="1450" t="s">
        <v>3384</v>
      </c>
      <c r="K56" s="1421" t="s">
        <v>843</v>
      </c>
      <c r="L56" s="1424">
        <f ca="1">IF(L48&lt;J51,"——",L48-J51)</f>
        <v>8</v>
      </c>
      <c r="O56" s="1418" t="s">
        <v>403</v>
      </c>
      <c r="P56" s="1419" t="s">
        <v>817</v>
      </c>
      <c r="Q56" s="1420">
        <f ca="1">C40+J29</f>
        <v>6674848</v>
      </c>
      <c r="R56" s="1420" t="s">
        <v>818</v>
      </c>
    </row>
    <row r="57" spans="1:18" s="1384" customFormat="1" ht="24.75" thickBot="1">
      <c r="A57" s="1451"/>
      <c r="B57" s="950" t="s">
        <v>767</v>
      </c>
      <c r="C57" s="238">
        <f ca="1">C29</f>
        <v>946210</v>
      </c>
      <c r="D57" s="1452"/>
      <c r="E57" s="1453"/>
      <c r="F57" s="1454"/>
      <c r="I57" s="1455" t="s">
        <v>844</v>
      </c>
      <c r="J57" s="1456" t="str">
        <f ca="1">IF(OR(M47="住宅",J51&lt;L48,J56="是"),"——",J51-L48)</f>
        <v>——</v>
      </c>
      <c r="K57" s="1421" t="s">
        <v>892</v>
      </c>
      <c r="L57" s="1424">
        <f ca="1">IF(L48&lt;J51,"——",IF(L55="比较法",L49,IF(L55="基准地价",L50,L51)))</f>
        <v>2594049</v>
      </c>
      <c r="O57" s="1418" t="s">
        <v>404</v>
      </c>
      <c r="P57" s="1419" t="s">
        <v>893</v>
      </c>
      <c r="Q57" s="1420">
        <f ca="1">L60</f>
        <v>0</v>
      </c>
      <c r="R57" s="1420" t="s">
        <v>894</v>
      </c>
    </row>
    <row r="58" spans="1:18" s="1384" customFormat="1" ht="24.75" thickBot="1">
      <c r="A58" s="315" t="s">
        <v>393</v>
      </c>
      <c r="B58" s="958" t="s">
        <v>714</v>
      </c>
      <c r="C58" s="316">
        <f ca="1">ROUND(C59+C64+C65+C66,0)</f>
        <v>8232</v>
      </c>
      <c r="D58" s="960" t="s">
        <v>715</v>
      </c>
      <c r="E58" s="961"/>
      <c r="F58" s="962"/>
      <c r="I58" s="1455" t="s">
        <v>848</v>
      </c>
      <c r="J58" s="1457" t="e">
        <f ca="1">IF(J55&lt;0.4,0.4,J55)</f>
        <v>#VALUE!</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f ca="1">IF(项目基本情况!B11="企业","——",IF('数据-取费表'!B10="住宅",IF(F49*F50*F51/12/(1+'数据-取费表'!F30)&gt;100000,4%,2.5%),IF(F49*F50*F51/12/(1+'数据-取费表'!F30)&gt;100000,12%,7%)))</f>
        <v>7.0000000000000007E-2</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t="str">
        <f ca="1">IF(项目基本情况!B11="自然人","——",IF(D61="按租金收入计税",ROUND(C49*F61/(1+'数据-取费表'!C42),0),IF(D61="按房产原值计税",ROUND(C57*F61*0.7,0),INDIRECT("'数据-取费表'!Aj"&amp;$G$1))))</f>
        <v>——</v>
      </c>
      <c r="D61" s="1370" t="s">
        <v>3339</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t="str">
        <f>IF(项目基本情况!B11="自然人","——",ROUND(F62*F63,0))</f>
        <v>——</v>
      </c>
      <c r="D62" s="965" t="s">
        <v>786</v>
      </c>
      <c r="E62" s="950" t="s">
        <v>787</v>
      </c>
      <c r="F62" s="325">
        <f t="shared" si="0"/>
        <v>0</v>
      </c>
      <c r="I62" s="1462" t="s">
        <v>858</v>
      </c>
      <c r="J62" s="1463" t="s">
        <v>859</v>
      </c>
      <c r="K62" s="1463" t="s">
        <v>860</v>
      </c>
      <c r="L62" s="1463" t="s">
        <v>861</v>
      </c>
      <c r="M62" s="1464" t="s">
        <v>862</v>
      </c>
      <c r="O62" s="1418" t="s">
        <v>409</v>
      </c>
      <c r="P62" s="1419" t="s">
        <v>863</v>
      </c>
      <c r="Q62" s="1420">
        <f ca="1">Q56+Q57</f>
        <v>6674848</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7570</v>
      </c>
      <c r="D64" s="964" t="s">
        <v>791</v>
      </c>
      <c r="E64" s="950" t="s">
        <v>783</v>
      </c>
      <c r="F64" s="328">
        <f t="shared" ca="1" si="0"/>
        <v>8.0000000000000002E-3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662</v>
      </c>
      <c r="D65" s="964" t="s">
        <v>743</v>
      </c>
      <c r="E65" s="950" t="s">
        <v>744</v>
      </c>
      <c r="F65" s="330">
        <f t="shared" ca="1" si="0"/>
        <v>1E-3</v>
      </c>
      <c r="I65" s="1462" t="s">
        <v>867</v>
      </c>
      <c r="J65" s="1463">
        <v>40</v>
      </c>
      <c r="K65" s="1463">
        <v>30</v>
      </c>
      <c r="L65" s="1463">
        <v>50</v>
      </c>
      <c r="M65" s="1465">
        <v>0.02</v>
      </c>
      <c r="O65" s="1418" t="s">
        <v>403</v>
      </c>
      <c r="P65" s="1419" t="s">
        <v>868</v>
      </c>
      <c r="Q65" s="1420">
        <f ca="1">C40+J29</f>
        <v>6674848</v>
      </c>
      <c r="R65" s="1420" t="s">
        <v>818</v>
      </c>
    </row>
    <row r="66" spans="1:18" s="1384" customFormat="1" ht="16.5" thickBot="1">
      <c r="A66" s="982" t="s">
        <v>793</v>
      </c>
      <c r="B66" s="950" t="s">
        <v>728</v>
      </c>
      <c r="C66" s="21">
        <f ca="1">ROUND(C48*F66,0)</f>
        <v>0</v>
      </c>
      <c r="D66" s="964" t="s">
        <v>794</v>
      </c>
      <c r="E66" s="950" t="s">
        <v>712</v>
      </c>
      <c r="F66" s="312">
        <f t="shared" ca="1" si="0"/>
        <v>8.0000000000000002E-3</v>
      </c>
      <c r="O66" s="1418" t="s">
        <v>404</v>
      </c>
      <c r="P66" s="1419" t="s">
        <v>846</v>
      </c>
      <c r="Q66" s="1420">
        <f ca="1">L60</f>
        <v>0</v>
      </c>
      <c r="R66" s="1420" t="s">
        <v>869</v>
      </c>
    </row>
    <row r="67" spans="1:18" s="1384" customFormat="1" ht="16.5" thickBot="1">
      <c r="A67" s="957" t="s">
        <v>394</v>
      </c>
      <c r="B67" s="967" t="s">
        <v>752</v>
      </c>
      <c r="C67" s="316">
        <f ca="1">C48-C58</f>
        <v>-8232</v>
      </c>
      <c r="D67" s="963" t="s">
        <v>753</v>
      </c>
      <c r="E67" s="968"/>
      <c r="F67" s="969"/>
      <c r="O67" s="1428" t="s">
        <v>405</v>
      </c>
      <c r="P67" s="1419" t="s">
        <v>850</v>
      </c>
      <c r="Q67" s="1466">
        <f ca="1">L51</f>
        <v>2594049</v>
      </c>
      <c r="R67" s="1420" t="s">
        <v>870</v>
      </c>
    </row>
    <row r="68" spans="1:18" s="1384" customFormat="1" ht="16.5" thickBot="1">
      <c r="A68" s="947" t="s">
        <v>395</v>
      </c>
      <c r="B68" s="948" t="s">
        <v>774</v>
      </c>
      <c r="C68" s="301">
        <f ca="1">ROUND(C67*(1-((1+F70)/(1+F68))^F69)/(F68-F70),0)</f>
        <v>-162681</v>
      </c>
      <c r="D68" s="965" t="s">
        <v>758</v>
      </c>
      <c r="E68" s="950" t="s">
        <v>759</v>
      </c>
      <c r="F68" s="312">
        <f ca="1">F40</f>
        <v>4.4999999999999998E-2</v>
      </c>
      <c r="O68" s="1428" t="s">
        <v>406</v>
      </c>
      <c r="P68" s="1467" t="s">
        <v>871</v>
      </c>
      <c r="Q68" s="1420">
        <f ca="1">ROUND(Q69-Q70*Q71,0)</f>
        <v>128510</v>
      </c>
      <c r="R68" s="1420" t="s">
        <v>414</v>
      </c>
    </row>
    <row r="69" spans="1:18" s="1384" customFormat="1" ht="13.5" thickBot="1">
      <c r="A69" s="951"/>
      <c r="B69" s="952"/>
      <c r="C69" s="306"/>
      <c r="D69" s="970" t="s">
        <v>762</v>
      </c>
      <c r="E69" s="950" t="s">
        <v>763</v>
      </c>
      <c r="F69" s="333">
        <f ca="1">F41</f>
        <v>50</v>
      </c>
      <c r="O69" s="1428" t="s">
        <v>411</v>
      </c>
      <c r="P69" s="1467" t="s">
        <v>872</v>
      </c>
      <c r="Q69" s="1420">
        <f ca="1">C39</f>
        <v>174874</v>
      </c>
      <c r="R69" s="1420" t="s">
        <v>818</v>
      </c>
    </row>
    <row r="70" spans="1:18" s="1384" customFormat="1" ht="13.5" thickBot="1">
      <c r="A70" s="954"/>
      <c r="B70" s="955"/>
      <c r="C70" s="310"/>
      <c r="D70" s="966"/>
      <c r="E70" s="950" t="s">
        <v>766</v>
      </c>
      <c r="F70" s="1054"/>
      <c r="O70" s="1428" t="s">
        <v>412</v>
      </c>
      <c r="P70" s="1467" t="s">
        <v>873</v>
      </c>
      <c r="Q70" s="1420">
        <f ca="1">C13</f>
        <v>662347</v>
      </c>
      <c r="R70" s="1420" t="s">
        <v>818</v>
      </c>
    </row>
    <row r="71" spans="1:18" s="1384" customFormat="1" ht="13.5" thickBot="1">
      <c r="A71" s="971" t="s">
        <v>396</v>
      </c>
      <c r="B71" s="972" t="s">
        <v>776</v>
      </c>
      <c r="C71" s="336">
        <f ca="1">ROUND(C68/F71,0)</f>
        <v>-998</v>
      </c>
      <c r="D71" s="973" t="s">
        <v>777</v>
      </c>
      <c r="E71" s="974" t="s">
        <v>778</v>
      </c>
      <c r="F71" s="339">
        <f ca="1">F43</f>
        <v>162.94</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46364</v>
      </c>
      <c r="D75" s="1384"/>
      <c r="E75" s="1384"/>
      <c r="F75" s="1384"/>
      <c r="K75" s="1402"/>
      <c r="L75" s="1384"/>
      <c r="O75" s="1418" t="s">
        <v>409</v>
      </c>
      <c r="P75" s="1419" t="s">
        <v>838</v>
      </c>
      <c r="Q75" s="1420">
        <f ca="1">Q65+Q66</f>
        <v>6674848</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0.73499999999999999</v>
      </c>
    </row>
    <row r="80" spans="1:18">
      <c r="B80" s="340" t="s">
        <v>800</v>
      </c>
      <c r="C80" s="274">
        <f ca="1">ROUND(C75/C39,3)</f>
        <v>0.26500000000000001</v>
      </c>
    </row>
    <row r="81" spans="2:3">
      <c r="B81" s="270" t="s">
        <v>801</v>
      </c>
      <c r="C81" s="238"/>
    </row>
    <row r="82" spans="2:3">
      <c r="B82" s="273" t="s">
        <v>802</v>
      </c>
      <c r="C82" s="275">
        <f ca="1">1-C83</f>
        <v>0.90100000000000002</v>
      </c>
    </row>
    <row r="83" spans="2:3">
      <c r="B83" s="273" t="s">
        <v>803</v>
      </c>
      <c r="C83" s="274">
        <f ca="1">ROUND(C13/C40,3)</f>
        <v>9.9000000000000005E-2</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5" t="s">
        <v>2316</v>
      </c>
      <c r="B2" s="2841" t="e">
        <f>IF(D2="——",C40,C40+E2)</f>
        <v>#DIV/0!</v>
      </c>
      <c r="C2" s="2842" t="s">
        <v>2317</v>
      </c>
      <c r="D2" s="3441" t="s">
        <v>3362</v>
      </c>
      <c r="E2" s="3442"/>
      <c r="F2" s="2844"/>
      <c r="G2" s="2845"/>
      <c r="H2" s="2846"/>
      <c r="I2" s="2847"/>
      <c r="J2" s="3658" t="s">
        <v>2318</v>
      </c>
      <c r="K2" s="3659"/>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60" t="s">
        <v>2328</v>
      </c>
      <c r="K3" s="3661"/>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60" t="s">
        <v>2330</v>
      </c>
      <c r="K4" s="3661"/>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66" t="s">
        <v>2334</v>
      </c>
      <c r="B6" s="3667"/>
      <c r="C6" s="3668"/>
      <c r="D6" s="2868"/>
      <c r="E6" s="2869"/>
      <c r="F6" s="2870"/>
      <c r="G6" s="2871"/>
      <c r="H6" s="2846"/>
      <c r="I6" s="2847"/>
      <c r="J6" s="3652">
        <v>1</v>
      </c>
      <c r="K6" s="3653"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52"/>
      <c r="K7" s="3654"/>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69" t="s">
        <v>2348</v>
      </c>
      <c r="C8" s="3670"/>
      <c r="D8" s="2887" t="s">
        <v>2349</v>
      </c>
      <c r="E8" s="2888" t="s">
        <v>2350</v>
      </c>
      <c r="F8" s="2889" t="s">
        <v>2351</v>
      </c>
      <c r="G8" s="2890"/>
      <c r="H8" s="2846"/>
      <c r="I8" s="2847"/>
      <c r="J8" s="3652"/>
      <c r="K8" s="3654"/>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69" t="s">
        <v>2354</v>
      </c>
      <c r="C9" s="3670"/>
      <c r="D9" s="2887">
        <f>ROUND(D6*E9,0)</f>
        <v>0</v>
      </c>
      <c r="E9" s="2891"/>
      <c r="F9" s="2892" t="s">
        <v>2355</v>
      </c>
      <c r="G9" s="2871"/>
      <c r="H9" s="2846"/>
      <c r="I9" s="2847"/>
      <c r="J9" s="3652"/>
      <c r="K9" s="3654"/>
      <c r="L9" s="2881" t="s">
        <v>2356</v>
      </c>
      <c r="M9" s="2882"/>
      <c r="N9" s="2858"/>
      <c r="O9" s="2883"/>
      <c r="P9" s="2883"/>
      <c r="Q9" s="2884">
        <v>365</v>
      </c>
      <c r="R9" s="2885">
        <f t="shared" si="0"/>
        <v>0</v>
      </c>
      <c r="S9" s="2839"/>
      <c r="T9" s="2839"/>
      <c r="U9" s="2839"/>
      <c r="V9" s="2847"/>
    </row>
    <row r="10" spans="1:22" s="2851" customFormat="1" ht="13.15" customHeight="1">
      <c r="A10" s="2886">
        <v>2</v>
      </c>
      <c r="B10" s="3669" t="s">
        <v>2357</v>
      </c>
      <c r="C10" s="3670"/>
      <c r="D10" s="2887">
        <f>ROUND(D6*E10,0)</f>
        <v>0</v>
      </c>
      <c r="E10" s="2891"/>
      <c r="F10" s="2892" t="s">
        <v>2358</v>
      </c>
      <c r="G10" s="2871"/>
      <c r="H10" s="2846"/>
      <c r="I10" s="2847"/>
      <c r="J10" s="3652"/>
      <c r="K10" s="3654"/>
      <c r="L10" s="2881" t="s">
        <v>2359</v>
      </c>
      <c r="M10" s="2882"/>
      <c r="N10" s="2858"/>
      <c r="O10" s="2883"/>
      <c r="P10" s="2883"/>
      <c r="Q10" s="2884">
        <v>365</v>
      </c>
      <c r="R10" s="2885">
        <f t="shared" si="0"/>
        <v>0</v>
      </c>
      <c r="S10" s="2839"/>
      <c r="T10" s="2839"/>
      <c r="U10" s="2839"/>
      <c r="V10" s="2847"/>
    </row>
    <row r="11" spans="1:22" s="2851" customFormat="1" ht="13.15" customHeight="1">
      <c r="A11" s="2886">
        <v>3</v>
      </c>
      <c r="B11" s="3669" t="s">
        <v>2360</v>
      </c>
      <c r="C11" s="3670"/>
      <c r="D11" s="2887">
        <f>D12+D14+D15+D16</f>
        <v>0</v>
      </c>
      <c r="E11" s="2893" t="e">
        <f>D11/D6</f>
        <v>#DIV/0!</v>
      </c>
      <c r="F11" s="2889"/>
      <c r="G11" s="2890"/>
      <c r="H11" s="2846"/>
      <c r="I11" s="2847"/>
      <c r="J11" s="3652"/>
      <c r="K11" s="3654"/>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62" t="s">
        <v>2363</v>
      </c>
      <c r="C12" s="3663"/>
      <c r="D12" s="2895">
        <f>ROUND(D13*1.2%*(1-30%),0)</f>
        <v>0</v>
      </c>
      <c r="E12" s="2896">
        <v>1.2E-2</v>
      </c>
      <c r="F12" s="2889" t="s">
        <v>2364</v>
      </c>
      <c r="G12" s="2890"/>
      <c r="H12" s="2846"/>
      <c r="I12" s="2847"/>
      <c r="J12" s="3652"/>
      <c r="K12" s="3654"/>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52"/>
      <c r="K13" s="3654"/>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62" t="s">
        <v>2369</v>
      </c>
      <c r="C14" s="3663"/>
      <c r="D14" s="2895">
        <f>ROUND(E14*B5/10000,0)</f>
        <v>0</v>
      </c>
      <c r="E14" s="2884"/>
      <c r="F14" s="2889" t="s">
        <v>2370</v>
      </c>
      <c r="G14" s="2890"/>
      <c r="H14" s="2846"/>
      <c r="I14" s="2847"/>
      <c r="J14" s="3652"/>
      <c r="K14" s="3655"/>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62" t="s">
        <v>2373</v>
      </c>
      <c r="C15" s="3663"/>
      <c r="D15" s="2895">
        <f>ROUND(D6*E15,0)</f>
        <v>0</v>
      </c>
      <c r="E15" s="2896">
        <v>5.5E-2</v>
      </c>
      <c r="F15" s="2889" t="s">
        <v>2374</v>
      </c>
      <c r="G15" s="2871"/>
      <c r="H15" s="2846"/>
      <c r="I15" s="2847"/>
      <c r="J15" s="3652">
        <v>2</v>
      </c>
      <c r="K15" s="3653"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62" t="s">
        <v>2382</v>
      </c>
      <c r="C16" s="3663"/>
      <c r="D16" s="2906">
        <f>D6*E16</f>
        <v>0</v>
      </c>
      <c r="E16" s="2907"/>
      <c r="F16" s="2892" t="s">
        <v>2383</v>
      </c>
      <c r="G16" s="2871"/>
      <c r="H16" s="2846"/>
      <c r="I16" s="2847"/>
      <c r="J16" s="3652"/>
      <c r="K16" s="3654"/>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64" t="s">
        <v>2385</v>
      </c>
      <c r="C17" s="3665"/>
      <c r="D17" s="2909">
        <f>ROUND(D6*E17,0)</f>
        <v>0</v>
      </c>
      <c r="E17" s="2910"/>
      <c r="F17" s="2911" t="s">
        <v>2386</v>
      </c>
      <c r="G17" s="2871"/>
      <c r="H17" s="2846"/>
      <c r="I17" s="2847"/>
      <c r="J17" s="3652"/>
      <c r="K17" s="3654"/>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52"/>
      <c r="K18" s="3654"/>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52"/>
      <c r="K19" s="3655"/>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52">
        <v>3</v>
      </c>
      <c r="K20" s="3653"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52"/>
      <c r="K21" s="3654"/>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52"/>
      <c r="K22" s="3654"/>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52"/>
      <c r="K23" s="3654"/>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52"/>
      <c r="K24" s="3655"/>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56">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5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58" t="s">
        <v>2318</v>
      </c>
      <c r="K32" s="3659"/>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60" t="s">
        <v>2328</v>
      </c>
      <c r="K33" s="3661"/>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60" t="s">
        <v>2330</v>
      </c>
      <c r="K34" s="366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52">
        <v>1</v>
      </c>
      <c r="K36" s="3653"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52"/>
      <c r="K37" s="3654"/>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52"/>
      <c r="K38" s="3654"/>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52"/>
      <c r="K39" s="3654"/>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52"/>
      <c r="K40" s="3655"/>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56">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5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667.48479999999995</v>
      </c>
      <c r="C2" s="1872" t="s">
        <v>1651</v>
      </c>
      <c r="D2" s="1873" t="s">
        <v>1652</v>
      </c>
      <c r="E2" s="2605">
        <f>SUM(E6:E13)</f>
        <v>162.94</v>
      </c>
      <c r="F2" s="2705"/>
      <c r="G2" s="1489"/>
      <c r="H2" s="1489"/>
      <c r="I2" s="1489"/>
      <c r="J2" s="1489"/>
      <c r="K2" s="1489"/>
      <c r="L2" s="1489"/>
      <c r="M2" s="1489"/>
      <c r="N2" s="1489"/>
      <c r="O2" s="1489"/>
      <c r="P2" s="1489"/>
      <c r="Q2" s="1489"/>
      <c r="R2" s="1489"/>
      <c r="S2" s="1489"/>
    </row>
    <row r="3" spans="1:22" ht="15.75">
      <c r="A3" s="1870" t="s">
        <v>686</v>
      </c>
      <c r="B3" s="2599">
        <f ca="1">ROUND(B2*10000/E2,0)</f>
        <v>40965</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71" t="s">
        <v>1654</v>
      </c>
      <c r="C5" s="367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 (元)</v>
      </c>
      <c r="B6" s="2600">
        <f ca="1">IF(F6="是",'数据-取费表'!AO6,0)</f>
        <v>667.48479999999995</v>
      </c>
      <c r="C6" s="1872" t="s">
        <v>1651</v>
      </c>
      <c r="D6" s="2707"/>
      <c r="E6" s="2604">
        <f>IF(OR(A6=0,F6="否"),0,'数据-取费表'!K6+'数据-取费表'!S6)</f>
        <v>162.94</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B28" zoomScale="80" zoomScaleNormal="60" zoomScaleSheetLayoutView="80" workbookViewId="0">
      <selection activeCell="M39" sqref="M39"/>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t="s">
        <v>3383</v>
      </c>
      <c r="E1" s="3424" t="s">
        <v>3392</v>
      </c>
      <c r="F1" s="1879" t="s">
        <v>3436</v>
      </c>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f>IF(E1="项目模式",IF(C2="——",ROUND(C49*D3/10000,0),ROUND(C49*D3/10000,0)-D2),IF(E1="单套模式",IF(C2="——",ROUND(C49*D3/10000,4),ROUND(C49*D3/10000,4)-D2)))</f>
        <v>1118.8764000000001</v>
      </c>
      <c r="C2" s="1881" t="s">
        <v>43</v>
      </c>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68668</v>
      </c>
      <c r="C3" s="354" t="s">
        <v>1665</v>
      </c>
      <c r="D3" s="353">
        <f>IF(D1="",'数据-汇总表'!E3,SUMIF('数据-汇总表'!$C19:$C33,D1,'数据-汇总表'!$E19:$E33))</f>
        <v>162.94</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91" t="s">
        <v>1667</v>
      </c>
      <c r="D4" s="3692"/>
      <c r="E4" s="3693" t="s">
        <v>1668</v>
      </c>
      <c r="F4" s="3694"/>
      <c r="G4" s="3691" t="s">
        <v>1669</v>
      </c>
      <c r="H4" s="3692"/>
      <c r="I4" s="3691" t="s">
        <v>1670</v>
      </c>
      <c r="J4" s="3692"/>
      <c r="K4" s="1889" t="s">
        <v>1671</v>
      </c>
      <c r="L4" s="2713"/>
      <c r="M4" s="2714"/>
      <c r="N4" s="2714"/>
      <c r="O4" s="2714"/>
      <c r="P4" s="3695" t="s">
        <v>1672</v>
      </c>
      <c r="Q4" s="3696"/>
      <c r="R4" s="3701" t="s">
        <v>1668</v>
      </c>
      <c r="S4" s="3702"/>
      <c r="T4" s="3701" t="s">
        <v>1669</v>
      </c>
      <c r="U4" s="3702"/>
      <c r="V4" s="3707" t="s">
        <v>1670</v>
      </c>
      <c r="W4" s="3707"/>
      <c r="X4" s="1355"/>
      <c r="Y4" s="3701" t="s">
        <v>1672</v>
      </c>
      <c r="Z4" s="3702"/>
      <c r="AA4" s="3688" t="s">
        <v>1668</v>
      </c>
      <c r="AB4" s="3688" t="s">
        <v>1669</v>
      </c>
      <c r="AC4" s="3688" t="s">
        <v>1670</v>
      </c>
    </row>
    <row r="5" spans="1:29" ht="15">
      <c r="A5" s="358"/>
      <c r="B5" s="359"/>
      <c r="C5" s="3710" t="s">
        <v>3393</v>
      </c>
      <c r="D5" s="3711"/>
      <c r="E5" s="3717" t="s">
        <v>3393</v>
      </c>
      <c r="F5" s="3718"/>
      <c r="G5" s="3710" t="s">
        <v>3393</v>
      </c>
      <c r="H5" s="3711"/>
      <c r="I5" s="3710" t="s">
        <v>3393</v>
      </c>
      <c r="J5" s="3711"/>
      <c r="K5" s="1890"/>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15" t="s">
        <v>3391</v>
      </c>
      <c r="F6" s="3716"/>
      <c r="G6" s="3708" t="s">
        <v>1677</v>
      </c>
      <c r="H6" s="3709"/>
      <c r="I6" s="3708" t="s">
        <v>1677</v>
      </c>
      <c r="J6" s="3709"/>
      <c r="K6" s="1890"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v>45139</v>
      </c>
      <c r="F7" s="367">
        <f>SUMIF(58:58,YEAR(E7)&amp;"-"&amp;MONTH(E7),59:59)</f>
        <v>100</v>
      </c>
      <c r="G7" s="366">
        <v>45078</v>
      </c>
      <c r="H7" s="365">
        <f>SUMIF(58:58,YEAR(G7)&amp;"-"&amp;MONTH(G7),59:59)</f>
        <v>102</v>
      </c>
      <c r="I7" s="366">
        <v>44999</v>
      </c>
      <c r="J7" s="365">
        <f>SUMIF(58:58,YEAR(I7)&amp;"-"&amp;MONTH(I7),59:59)</f>
        <v>102</v>
      </c>
      <c r="K7" s="1891"/>
      <c r="L7" s="2715"/>
      <c r="M7" s="2716"/>
      <c r="N7" s="2716"/>
      <c r="O7" s="2716"/>
      <c r="P7" s="3712" t="s">
        <v>1680</v>
      </c>
      <c r="Q7" s="3714"/>
      <c r="R7" s="701" t="s">
        <v>20</v>
      </c>
      <c r="S7" s="702">
        <f t="shared" ref="S7:S15" si="0">F7</f>
        <v>100</v>
      </c>
      <c r="T7" s="701" t="s">
        <v>20</v>
      </c>
      <c r="U7" s="702">
        <f t="shared" ref="U7:U15" si="1">H7</f>
        <v>102</v>
      </c>
      <c r="V7" s="701" t="s">
        <v>20</v>
      </c>
      <c r="W7" s="702">
        <f t="shared" ref="W7:W15" si="2">J7</f>
        <v>102</v>
      </c>
      <c r="X7" s="703"/>
      <c r="Y7" s="3712" t="s">
        <v>1680</v>
      </c>
      <c r="Z7" s="3713"/>
      <c r="AA7" s="704">
        <f>D7/F7</f>
        <v>1</v>
      </c>
      <c r="AB7" s="704">
        <f>D7/H7</f>
        <v>0.98039215686274506</v>
      </c>
      <c r="AC7" s="704">
        <f>D7/J7</f>
        <v>0.98039215686274506</v>
      </c>
    </row>
    <row r="8" spans="1:29" s="108" customFormat="1" ht="15.75" thickBot="1">
      <c r="A8" s="362" t="s">
        <v>1681</v>
      </c>
      <c r="B8" s="363"/>
      <c r="C8" s="368" t="s">
        <v>3394</v>
      </c>
      <c r="D8" s="365">
        <v>100</v>
      </c>
      <c r="E8" s="1892" t="s">
        <v>3394</v>
      </c>
      <c r="F8" s="367">
        <f>SUMIF(61:61,E8,62:62)-SUMIF(61:61,C8,62:62)+100</f>
        <v>100</v>
      </c>
      <c r="G8" s="368" t="s">
        <v>3394</v>
      </c>
      <c r="H8" s="365">
        <f>SUMIF(61:61,G8,62:62)-SUMIF(61:61,C8,62:62)+100</f>
        <v>100</v>
      </c>
      <c r="I8" s="1892" t="s">
        <v>3394</v>
      </c>
      <c r="J8" s="365">
        <f>SUMIF(61:61,I8,62:62)-SUMIF(61:61,C8,62:62)+100</f>
        <v>100</v>
      </c>
      <c r="K8" s="1891"/>
      <c r="L8" s="2715"/>
      <c r="M8" s="2716"/>
      <c r="N8" s="2716"/>
      <c r="O8" s="2716"/>
      <c r="P8" s="3712" t="s">
        <v>1683</v>
      </c>
      <c r="Q8" s="3713"/>
      <c r="R8" s="701" t="s">
        <v>20</v>
      </c>
      <c r="S8" s="702">
        <f t="shared" si="0"/>
        <v>100</v>
      </c>
      <c r="T8" s="701" t="s">
        <v>20</v>
      </c>
      <c r="U8" s="702">
        <f t="shared" si="1"/>
        <v>100</v>
      </c>
      <c r="V8" s="701" t="s">
        <v>20</v>
      </c>
      <c r="W8" s="702">
        <f t="shared" si="2"/>
        <v>100</v>
      </c>
      <c r="X8" s="703"/>
      <c r="Y8" s="3712" t="s">
        <v>1683</v>
      </c>
      <c r="Z8" s="3713"/>
      <c r="AA8" s="704">
        <f t="shared" ref="AA8:AA19" si="3">D8/F8</f>
        <v>1</v>
      </c>
      <c r="AB8" s="704">
        <f t="shared" ref="AB8:AB19" si="4">D8/H8</f>
        <v>1</v>
      </c>
      <c r="AC8" s="704">
        <f t="shared" ref="AC8:AC19" si="5">D8/J8</f>
        <v>1</v>
      </c>
    </row>
    <row r="9" spans="1:29" s="108" customFormat="1">
      <c r="A9" s="369" t="s">
        <v>1684</v>
      </c>
      <c r="B9" s="63" t="s">
        <v>1685</v>
      </c>
      <c r="C9" s="3449" t="s">
        <v>3395</v>
      </c>
      <c r="D9" s="126">
        <v>100</v>
      </c>
      <c r="E9" s="371" t="s">
        <v>3383</v>
      </c>
      <c r="F9" s="372">
        <f>SUMIF(63:63,E9,64:64)-SUMIF(63:63,C9,64:64)+100</f>
        <v>100</v>
      </c>
      <c r="G9" s="373" t="s">
        <v>3383</v>
      </c>
      <c r="H9" s="126">
        <f>SUMIF(63:63,G9,64:64)-SUMIF(63:63,C9,64:64)+100</f>
        <v>100</v>
      </c>
      <c r="I9" s="373" t="s">
        <v>3383</v>
      </c>
      <c r="J9" s="126">
        <f>SUMIF(63:63,I9,64:64)-SUMIF(63:63,C9,64:64)+100</f>
        <v>100</v>
      </c>
      <c r="K9" s="1891"/>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v>3</v>
      </c>
      <c r="D11" s="127">
        <v>100</v>
      </c>
      <c r="E11" s="381">
        <v>3</v>
      </c>
      <c r="F11" s="376">
        <f>LOOKUP(E11,68:68,69:69)-LOOKUP(C11,68:68,69:69)+100</f>
        <v>100</v>
      </c>
      <c r="G11" s="380">
        <v>3</v>
      </c>
      <c r="H11" s="127">
        <f>LOOKUP(G11,68:68,69:69)-LOOKUP(C11,68:68,69:69)+100</f>
        <v>100</v>
      </c>
      <c r="I11" s="380">
        <v>3</v>
      </c>
      <c r="J11" s="127">
        <f>LOOKUP(I11,68:68,69:69)-LOOKUP(C11,68:68,69:69)+100</f>
        <v>100</v>
      </c>
      <c r="K11" s="377"/>
      <c r="L11" s="2719"/>
      <c r="M11" s="2714"/>
      <c r="N11" s="2714"/>
      <c r="O11" s="2714"/>
      <c r="P11" s="3687"/>
      <c r="Q11" s="1343" t="str">
        <f t="shared" si="6"/>
        <v>容积率</v>
      </c>
      <c r="R11" s="701" t="s">
        <v>18</v>
      </c>
      <c r="S11" s="702">
        <f t="shared" si="0"/>
        <v>100</v>
      </c>
      <c r="T11" s="701" t="s">
        <v>18</v>
      </c>
      <c r="U11" s="702">
        <f t="shared" si="1"/>
        <v>100</v>
      </c>
      <c r="V11" s="701" t="s">
        <v>18</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87"/>
      <c r="Q12" s="1343">
        <f t="shared" si="6"/>
        <v>111</v>
      </c>
      <c r="R12" s="701" t="s">
        <v>18</v>
      </c>
      <c r="S12" s="702">
        <f t="shared" si="0"/>
        <v>100</v>
      </c>
      <c r="T12" s="701" t="s">
        <v>18</v>
      </c>
      <c r="U12" s="702">
        <f t="shared" si="1"/>
        <v>100</v>
      </c>
      <c r="V12" s="701" t="s">
        <v>18</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87"/>
      <c r="Q13" s="1343">
        <f t="shared" si="6"/>
        <v>111</v>
      </c>
      <c r="R13" s="701" t="s">
        <v>18</v>
      </c>
      <c r="S13" s="702">
        <f t="shared" si="0"/>
        <v>100</v>
      </c>
      <c r="T13" s="701" t="s">
        <v>18</v>
      </c>
      <c r="U13" s="702">
        <f t="shared" si="1"/>
        <v>100</v>
      </c>
      <c r="V13" s="701" t="s">
        <v>18</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87"/>
      <c r="Q14" s="1343">
        <f t="shared" si="6"/>
        <v>111</v>
      </c>
      <c r="R14" s="701" t="s">
        <v>18</v>
      </c>
      <c r="S14" s="702">
        <f t="shared" si="0"/>
        <v>100</v>
      </c>
      <c r="T14" s="701" t="s">
        <v>18</v>
      </c>
      <c r="U14" s="702">
        <f t="shared" si="1"/>
        <v>100</v>
      </c>
      <c r="V14" s="701" t="s">
        <v>18</v>
      </c>
      <c r="W14" s="702">
        <f t="shared" si="2"/>
        <v>100</v>
      </c>
      <c r="X14" s="703"/>
      <c r="Y14" s="3551"/>
      <c r="Z14" s="52">
        <f t="shared" si="7"/>
        <v>111</v>
      </c>
      <c r="AA14" s="704">
        <f t="shared" si="3"/>
        <v>1</v>
      </c>
      <c r="AB14" s="704">
        <f t="shared" si="4"/>
        <v>1</v>
      </c>
      <c r="AC14" s="704">
        <f t="shared" si="5"/>
        <v>1</v>
      </c>
    </row>
    <row r="15" spans="1:29" ht="128.25">
      <c r="A15" s="391" t="s">
        <v>1690</v>
      </c>
      <c r="B15" s="61" t="s">
        <v>1257</v>
      </c>
      <c r="C15" s="1896" t="str">
        <f>估价对象房地状况!C3</f>
        <v>估价对象周边有润枫水尚、华纺易城、国美第一城、晨光家园、甘露园南里等居住小区，小区规模和社区发展完善程度较高，综合评价居住社区成熟度较好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85" t="s">
        <v>1691</v>
      </c>
      <c r="Q15" s="1352" t="str">
        <f t="shared" si="6"/>
        <v>居住社区成熟度</v>
      </c>
      <c r="R15" s="705" t="s">
        <v>18</v>
      </c>
      <c r="S15" s="706">
        <f t="shared" si="0"/>
        <v>100</v>
      </c>
      <c r="T15" s="705" t="s">
        <v>18</v>
      </c>
      <c r="U15" s="706">
        <f t="shared" si="1"/>
        <v>100</v>
      </c>
      <c r="V15" s="705" t="s">
        <v>18</v>
      </c>
      <c r="W15" s="706">
        <f t="shared" si="2"/>
        <v>100</v>
      </c>
      <c r="X15" s="1355"/>
      <c r="Y15" s="3678" t="s">
        <v>1691</v>
      </c>
      <c r="Z15" s="1356" t="str">
        <f t="shared" si="7"/>
        <v>居住社区成熟度</v>
      </c>
      <c r="AA15" s="1353">
        <f t="shared" si="3"/>
        <v>1</v>
      </c>
      <c r="AB15" s="1353">
        <f t="shared" si="4"/>
        <v>1</v>
      </c>
      <c r="AC15" s="1353">
        <f t="shared" si="5"/>
        <v>1</v>
      </c>
    </row>
    <row r="16" spans="1:29" ht="15">
      <c r="A16" s="379"/>
      <c r="B16" s="397"/>
      <c r="C16" s="398" t="s">
        <v>3408</v>
      </c>
      <c r="D16" s="399"/>
      <c r="E16" s="1897" t="s">
        <v>3408</v>
      </c>
      <c r="F16" s="399"/>
      <c r="G16" s="1898" t="s">
        <v>3408</v>
      </c>
      <c r="H16" s="401"/>
      <c r="I16" s="1898" t="s">
        <v>3408</v>
      </c>
      <c r="J16" s="399"/>
      <c r="K16" s="1899"/>
      <c r="L16" s="2720"/>
      <c r="M16" s="2714"/>
      <c r="N16" s="2714"/>
      <c r="O16" s="2714"/>
      <c r="P16" s="3686"/>
      <c r="Q16" s="1352"/>
      <c r="R16" s="705"/>
      <c r="S16" s="706"/>
      <c r="T16" s="705"/>
      <c r="U16" s="706"/>
      <c r="V16" s="705"/>
      <c r="W16" s="706"/>
      <c r="X16" s="1355"/>
      <c r="Y16" s="3679"/>
      <c r="Z16" s="1356"/>
      <c r="AA16" s="1353">
        <v>1</v>
      </c>
      <c r="AB16" s="1353">
        <v>1</v>
      </c>
      <c r="AC16" s="1353">
        <v>1</v>
      </c>
    </row>
    <row r="17" spans="1:29" ht="114">
      <c r="A17" s="379"/>
      <c r="B17" s="402" t="s">
        <v>1259</v>
      </c>
      <c r="C17" s="1900" t="str">
        <f>估价对象房地状况!C6</f>
        <v>估价对象周边有75路、126路、675路、682路、991路等多条公交线路，距地铁6号线（青年路站）约400米，综合评价交通便捷度较好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86"/>
      <c r="Q17" s="1352" t="str">
        <f>B17</f>
        <v>交通便捷度</v>
      </c>
      <c r="R17" s="705" t="s">
        <v>18</v>
      </c>
      <c r="S17" s="706">
        <f>F17</f>
        <v>100</v>
      </c>
      <c r="T17" s="705" t="s">
        <v>18</v>
      </c>
      <c r="U17" s="706">
        <f>H17</f>
        <v>100</v>
      </c>
      <c r="V17" s="705" t="s">
        <v>18</v>
      </c>
      <c r="W17" s="706">
        <f>J17</f>
        <v>100</v>
      </c>
      <c r="X17" s="1355"/>
      <c r="Y17" s="3679"/>
      <c r="Z17" s="1356" t="str">
        <f>Q17</f>
        <v>交通便捷度</v>
      </c>
      <c r="AA17" s="1353">
        <f t="shared" si="3"/>
        <v>1</v>
      </c>
      <c r="AB17" s="1353">
        <f t="shared" si="4"/>
        <v>1</v>
      </c>
      <c r="AC17" s="1353">
        <f t="shared" si="5"/>
        <v>1</v>
      </c>
    </row>
    <row r="18" spans="1:29" ht="15">
      <c r="A18" s="379"/>
      <c r="B18" s="407"/>
      <c r="C18" s="1901" t="s">
        <v>3408</v>
      </c>
      <c r="D18" s="401"/>
      <c r="E18" s="1902" t="s">
        <v>3408</v>
      </c>
      <c r="F18" s="401"/>
      <c r="G18" s="1903" t="s">
        <v>3408</v>
      </c>
      <c r="H18" s="399"/>
      <c r="I18" s="1903" t="s">
        <v>3408</v>
      </c>
      <c r="J18" s="399"/>
      <c r="K18" s="1899"/>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1258</v>
      </c>
      <c r="C19" s="1900" t="str">
        <f>估价对象房地状况!C7</f>
        <v>估价对象所在区域公共配套设施齐备情况较好</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86"/>
      <c r="Q19" s="1352" t="str">
        <f>B19</f>
        <v>公共配套设施</v>
      </c>
      <c r="R19" s="705" t="s">
        <v>18</v>
      </c>
      <c r="S19" s="706">
        <f>F19</f>
        <v>100</v>
      </c>
      <c r="T19" s="705" t="s">
        <v>18</v>
      </c>
      <c r="U19" s="706">
        <f>H19</f>
        <v>100</v>
      </c>
      <c r="V19" s="705" t="s">
        <v>18</v>
      </c>
      <c r="W19" s="706">
        <f>J19</f>
        <v>100</v>
      </c>
      <c r="X19" s="1355"/>
      <c r="Y19" s="3679"/>
      <c r="Z19" s="1356" t="str">
        <f>Q19</f>
        <v>公共配套设施</v>
      </c>
      <c r="AA19" s="1353">
        <f t="shared" si="3"/>
        <v>1</v>
      </c>
      <c r="AB19" s="1353">
        <f t="shared" si="4"/>
        <v>1</v>
      </c>
      <c r="AC19" s="1353">
        <f t="shared" si="5"/>
        <v>1</v>
      </c>
    </row>
    <row r="20" spans="1:29" ht="15">
      <c r="A20" s="379"/>
      <c r="B20" s="407"/>
      <c r="C20" s="398" t="s">
        <v>3408</v>
      </c>
      <c r="D20" s="399"/>
      <c r="E20" s="1897" t="s">
        <v>3408</v>
      </c>
      <c r="F20" s="399"/>
      <c r="G20" s="1898" t="s">
        <v>3408</v>
      </c>
      <c r="H20" s="399"/>
      <c r="I20" s="1898" t="s">
        <v>3408</v>
      </c>
      <c r="J20" s="399"/>
      <c r="K20" s="1899"/>
      <c r="L20" s="2720"/>
      <c r="M20" s="2714"/>
      <c r="N20" s="2714"/>
      <c r="O20" s="2714"/>
      <c r="P20" s="3686"/>
      <c r="Q20" s="1352"/>
      <c r="R20" s="705"/>
      <c r="S20" s="706"/>
      <c r="T20" s="705"/>
      <c r="U20" s="706"/>
      <c r="V20" s="705"/>
      <c r="W20" s="706"/>
      <c r="X20" s="1355"/>
      <c r="Y20" s="3679"/>
      <c r="Z20" s="1356"/>
      <c r="AA20" s="1353">
        <v>1</v>
      </c>
      <c r="AB20" s="1353">
        <v>1</v>
      </c>
      <c r="AC20" s="1353">
        <v>1</v>
      </c>
    </row>
    <row r="21" spans="1:29" ht="42.75">
      <c r="A21" s="379"/>
      <c r="B21" s="1131" t="s">
        <v>1260</v>
      </c>
      <c r="C21" s="1900" t="str">
        <f>估价对象房地状况!C8</f>
        <v>估价对象所在区域基础设施水平达七通</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t="s">
        <v>3409</v>
      </c>
      <c r="D22" s="399"/>
      <c r="E22" s="398" t="s">
        <v>3409</v>
      </c>
      <c r="F22" s="399"/>
      <c r="G22" s="1904" t="s">
        <v>3409</v>
      </c>
      <c r="H22" s="399"/>
      <c r="I22" s="398" t="s">
        <v>3409</v>
      </c>
      <c r="J22" s="399"/>
      <c r="K22" s="1905"/>
      <c r="L22" s="2720"/>
      <c r="M22" s="2714"/>
      <c r="N22" s="2714"/>
      <c r="O22" s="2714"/>
      <c r="P22" s="3686"/>
      <c r="Q22" s="1352"/>
      <c r="R22" s="705"/>
      <c r="S22" s="706"/>
      <c r="T22" s="705"/>
      <c r="U22" s="706"/>
      <c r="V22" s="705"/>
      <c r="W22" s="706"/>
      <c r="X22" s="1355"/>
      <c r="Y22" s="3679"/>
      <c r="Z22" s="1356"/>
      <c r="AA22" s="1353">
        <v>1</v>
      </c>
      <c r="AB22" s="1353">
        <v>1</v>
      </c>
      <c r="AC22" s="1353">
        <v>1</v>
      </c>
    </row>
    <row r="23" spans="1:29" ht="85.5">
      <c r="A23" s="379"/>
      <c r="B23" s="402" t="s">
        <v>1261</v>
      </c>
      <c r="C23" s="1900" t="str">
        <f>估价对象房地状况!C9</f>
        <v>区域自然环境：京城森林公园、红领巾公园、二道沟等；人文环境；四季体育馆；综合评价环境状况较好。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86"/>
      <c r="Q23" s="1352" t="str">
        <f>B23</f>
        <v>自然及人文环境</v>
      </c>
      <c r="R23" s="705" t="s">
        <v>18</v>
      </c>
      <c r="S23" s="706">
        <f>F23</f>
        <v>100</v>
      </c>
      <c r="T23" s="705" t="s">
        <v>18</v>
      </c>
      <c r="U23" s="706">
        <f>H23</f>
        <v>100</v>
      </c>
      <c r="V23" s="705" t="s">
        <v>18</v>
      </c>
      <c r="W23" s="706">
        <f>J23</f>
        <v>100</v>
      </c>
      <c r="X23" s="1355"/>
      <c r="Y23" s="3679"/>
      <c r="Z23" s="1356" t="str">
        <f>Q23</f>
        <v>自然及人文环境</v>
      </c>
      <c r="AA23" s="1353">
        <f>D23/F23</f>
        <v>1</v>
      </c>
      <c r="AB23" s="1353">
        <f>D23/H23</f>
        <v>1</v>
      </c>
      <c r="AC23" s="1353">
        <f>D23/J23</f>
        <v>1</v>
      </c>
    </row>
    <row r="24" spans="1:29" ht="15">
      <c r="A24" s="379"/>
      <c r="B24" s="407"/>
      <c r="C24" s="398" t="s">
        <v>3408</v>
      </c>
      <c r="D24" s="399"/>
      <c r="E24" s="1897" t="s">
        <v>3408</v>
      </c>
      <c r="F24" s="399"/>
      <c r="G24" s="1898" t="s">
        <v>3408</v>
      </c>
      <c r="H24" s="399"/>
      <c r="I24" s="1898" t="s">
        <v>3408</v>
      </c>
      <c r="J24" s="399"/>
      <c r="K24" s="1899"/>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8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79"/>
      <c r="Z25" s="1356" t="str">
        <f>Q25</f>
        <v>楼层-1</v>
      </c>
      <c r="AA25" s="1353">
        <f t="shared" ref="AA25:AA46" si="15">D25/F25</f>
        <v>1</v>
      </c>
      <c r="AB25" s="1353">
        <f t="shared" ref="AB25:AB46" si="16">D25/H25</f>
        <v>1</v>
      </c>
      <c r="AC25" s="1353">
        <f t="shared" ref="AC25:AC46" si="17">D25/J25</f>
        <v>1</v>
      </c>
    </row>
    <row r="26" spans="1:29" ht="15">
      <c r="A26" s="379"/>
      <c r="B26" s="375" t="s">
        <v>1693</v>
      </c>
      <c r="C26" s="411" t="s">
        <v>3398</v>
      </c>
      <c r="D26" s="386">
        <v>100</v>
      </c>
      <c r="E26" s="1906" t="s">
        <v>3396</v>
      </c>
      <c r="F26" s="386">
        <f>SUMIF(88:88,E26,89:89)-SUMIF(88:88,C26,89:89)+100</f>
        <v>101.5</v>
      </c>
      <c r="G26" s="1907" t="s">
        <v>3410</v>
      </c>
      <c r="H26" s="386">
        <f>SUMIF(88:88,G26,89:89)-SUMIF(88:88,C26,89:89)+100</f>
        <v>99.5</v>
      </c>
      <c r="I26" s="1907" t="s">
        <v>3400</v>
      </c>
      <c r="J26" s="386">
        <f>SUMIF(88:88,I26,89:89)-SUMIF(88:88,C26,89:89)+100</f>
        <v>101</v>
      </c>
      <c r="K26" s="377">
        <v>0.5</v>
      </c>
      <c r="L26" s="2720"/>
      <c r="M26" s="2714"/>
      <c r="N26" s="2714"/>
      <c r="O26" s="2714"/>
      <c r="P26" s="3686"/>
      <c r="Q26" s="1352" t="str">
        <f t="shared" si="11"/>
        <v>朝向</v>
      </c>
      <c r="R26" s="705" t="s">
        <v>18</v>
      </c>
      <c r="S26" s="706">
        <f t="shared" si="12"/>
        <v>101.5</v>
      </c>
      <c r="T26" s="705" t="s">
        <v>18</v>
      </c>
      <c r="U26" s="706">
        <f t="shared" si="13"/>
        <v>99.5</v>
      </c>
      <c r="V26" s="705" t="s">
        <v>18</v>
      </c>
      <c r="W26" s="706">
        <f t="shared" si="14"/>
        <v>101</v>
      </c>
      <c r="X26" s="1355"/>
      <c r="Y26" s="3679"/>
      <c r="Z26" s="1356" t="str">
        <f>Q26</f>
        <v>朝向</v>
      </c>
      <c r="AA26" s="1353">
        <f t="shared" si="15"/>
        <v>0.98522167487684731</v>
      </c>
      <c r="AB26" s="1353">
        <f t="shared" si="16"/>
        <v>1.0050251256281406</v>
      </c>
      <c r="AC26" s="1353">
        <f t="shared" si="17"/>
        <v>0.99009900990099009</v>
      </c>
    </row>
    <row r="27" spans="1:29" s="108" customFormat="1" ht="15">
      <c r="A27" s="382"/>
      <c r="B27" s="3456" t="s">
        <v>3413</v>
      </c>
      <c r="C27" s="383" t="str">
        <f>C90</f>
        <v>15/22（高区）</v>
      </c>
      <c r="D27" s="413">
        <v>100</v>
      </c>
      <c r="E27" s="416" t="str">
        <f>D90</f>
        <v>8/11（高区）</v>
      </c>
      <c r="F27" s="413">
        <f>SUMIF(90:90,E27,91:91)-SUMIF(90:90,C27,91:91)+100</f>
        <v>100</v>
      </c>
      <c r="G27" s="414" t="str">
        <f>E90</f>
        <v>8/17（中区）</v>
      </c>
      <c r="H27" s="413">
        <f>SUMIF(90:90,G27,91:91)-SUMIF(90:90,C27,91:91)+100</f>
        <v>98</v>
      </c>
      <c r="I27" s="414" t="str">
        <f>F90</f>
        <v>1/22（底层）</v>
      </c>
      <c r="J27" s="413">
        <f>SUMIF(90:90,I27,91:91)-SUMIF(90:90,C27,91:91)+100</f>
        <v>95</v>
      </c>
      <c r="K27" s="1894"/>
      <c r="L27" s="2715"/>
      <c r="M27" s="2716"/>
      <c r="N27" s="2716"/>
      <c r="O27" s="2716"/>
      <c r="P27" s="3686"/>
      <c r="Q27" s="1343" t="str">
        <f t="shared" si="11"/>
        <v>楼层</v>
      </c>
      <c r="R27" s="701" t="s">
        <v>18</v>
      </c>
      <c r="S27" s="702">
        <f t="shared" si="12"/>
        <v>100</v>
      </c>
      <c r="T27" s="701" t="s">
        <v>18</v>
      </c>
      <c r="U27" s="702">
        <f t="shared" si="13"/>
        <v>98</v>
      </c>
      <c r="V27" s="701" t="s">
        <v>18</v>
      </c>
      <c r="W27" s="702">
        <f t="shared" si="14"/>
        <v>95</v>
      </c>
      <c r="X27" s="703"/>
      <c r="Y27" s="3679"/>
      <c r="Z27" s="52" t="str">
        <f>Q27</f>
        <v>楼层</v>
      </c>
      <c r="AA27" s="1353">
        <f t="shared" si="15"/>
        <v>1</v>
      </c>
      <c r="AB27" s="1353">
        <f t="shared" si="16"/>
        <v>1.0204081632653061</v>
      </c>
      <c r="AC27" s="1353">
        <f t="shared" si="17"/>
        <v>1.0526315789473684</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86"/>
      <c r="Q28" s="1352">
        <f t="shared" si="11"/>
        <v>111</v>
      </c>
      <c r="R28" s="705" t="s">
        <v>18</v>
      </c>
      <c r="S28" s="706">
        <f t="shared" si="12"/>
        <v>100</v>
      </c>
      <c r="T28" s="705" t="s">
        <v>18</v>
      </c>
      <c r="U28" s="706">
        <f t="shared" si="13"/>
        <v>100</v>
      </c>
      <c r="V28" s="705" t="s">
        <v>18</v>
      </c>
      <c r="W28" s="706">
        <f t="shared" si="14"/>
        <v>100</v>
      </c>
      <c r="X28" s="1355"/>
      <c r="Y28" s="367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86"/>
      <c r="Q29" s="1352">
        <f t="shared" si="11"/>
        <v>111</v>
      </c>
      <c r="R29" s="705" t="s">
        <v>18</v>
      </c>
      <c r="S29" s="706">
        <f t="shared" si="12"/>
        <v>100</v>
      </c>
      <c r="T29" s="705" t="s">
        <v>18</v>
      </c>
      <c r="U29" s="706">
        <f t="shared" si="13"/>
        <v>100</v>
      </c>
      <c r="V29" s="705" t="s">
        <v>18</v>
      </c>
      <c r="W29" s="706">
        <f t="shared" si="14"/>
        <v>100</v>
      </c>
      <c r="X29" s="1355"/>
      <c r="Y29" s="367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86"/>
      <c r="Q30" s="1352">
        <f t="shared" si="11"/>
        <v>111</v>
      </c>
      <c r="R30" s="705" t="s">
        <v>18</v>
      </c>
      <c r="S30" s="706">
        <f t="shared" si="12"/>
        <v>100</v>
      </c>
      <c r="T30" s="705" t="s">
        <v>18</v>
      </c>
      <c r="U30" s="706">
        <f t="shared" si="13"/>
        <v>100</v>
      </c>
      <c r="V30" s="705" t="s">
        <v>18</v>
      </c>
      <c r="W30" s="706">
        <f t="shared" si="14"/>
        <v>100</v>
      </c>
      <c r="X30" s="1355"/>
      <c r="Y30" s="367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86"/>
      <c r="Q31" s="1352">
        <f t="shared" si="11"/>
        <v>111</v>
      </c>
      <c r="R31" s="705" t="s">
        <v>18</v>
      </c>
      <c r="S31" s="706">
        <f t="shared" si="12"/>
        <v>100</v>
      </c>
      <c r="T31" s="705" t="s">
        <v>18</v>
      </c>
      <c r="U31" s="706">
        <f t="shared" si="13"/>
        <v>100</v>
      </c>
      <c r="V31" s="705" t="s">
        <v>18</v>
      </c>
      <c r="W31" s="706">
        <f t="shared" si="14"/>
        <v>100</v>
      </c>
      <c r="X31" s="1355"/>
      <c r="Y31" s="3679"/>
      <c r="Z31" s="1356">
        <f t="shared" si="18"/>
        <v>111</v>
      </c>
      <c r="AA31" s="1353">
        <f t="shared" si="15"/>
        <v>1</v>
      </c>
      <c r="AB31" s="1353">
        <f t="shared" si="16"/>
        <v>1</v>
      </c>
      <c r="AC31" s="1353">
        <f t="shared" si="17"/>
        <v>1</v>
      </c>
    </row>
    <row r="32" spans="1:29" ht="15">
      <c r="A32" s="391" t="s">
        <v>1694</v>
      </c>
      <c r="B32" s="63" t="s">
        <v>1695</v>
      </c>
      <c r="C32" s="1910" t="s">
        <v>3420</v>
      </c>
      <c r="D32" s="418">
        <v>100</v>
      </c>
      <c r="E32" s="1911" t="s">
        <v>3418</v>
      </c>
      <c r="F32" s="412">
        <f>SUMIF(100:100,E32,101:101)-SUMIF(100:100,C32,101:101)+100</f>
        <v>101</v>
      </c>
      <c r="G32" s="1910" t="s">
        <v>3418</v>
      </c>
      <c r="H32" s="418">
        <f>SUMIF(100:100,G32,101:101)-SUMIF(100:100,C32,101:101)+100</f>
        <v>101</v>
      </c>
      <c r="I32" s="1911" t="s">
        <v>3420</v>
      </c>
      <c r="J32" s="386">
        <f>SUMIF(100:100,I32,101:101)-SUMIF(100:100,C32,101:101)+100</f>
        <v>100</v>
      </c>
      <c r="K32" s="377">
        <v>1</v>
      </c>
      <c r="L32" s="2720"/>
      <c r="M32" s="2714"/>
      <c r="N32" s="2714"/>
      <c r="O32" s="2714"/>
      <c r="P32" s="3680" t="s">
        <v>1696</v>
      </c>
      <c r="Q32" s="1352" t="str">
        <f t="shared" si="11"/>
        <v>建筑类型</v>
      </c>
      <c r="R32" s="705" t="s">
        <v>18</v>
      </c>
      <c r="S32" s="706">
        <f t="shared" si="12"/>
        <v>101</v>
      </c>
      <c r="T32" s="705" t="s">
        <v>18</v>
      </c>
      <c r="U32" s="706">
        <f t="shared" si="13"/>
        <v>101</v>
      </c>
      <c r="V32" s="705" t="s">
        <v>18</v>
      </c>
      <c r="W32" s="706">
        <f t="shared" si="14"/>
        <v>100</v>
      </c>
      <c r="X32" s="1355"/>
      <c r="Y32" s="3683" t="s">
        <v>1696</v>
      </c>
      <c r="Z32" s="1356" t="str">
        <f t="shared" si="18"/>
        <v>建筑类型</v>
      </c>
      <c r="AA32" s="1353">
        <f t="shared" si="15"/>
        <v>0.99009900990099009</v>
      </c>
      <c r="AB32" s="1353">
        <f t="shared" si="16"/>
        <v>0.99009900990099009</v>
      </c>
      <c r="AC32" s="1353">
        <f t="shared" si="17"/>
        <v>1</v>
      </c>
    </row>
    <row r="33" spans="1:29" s="422" customFormat="1" ht="15">
      <c r="A33" s="419"/>
      <c r="B33" s="375" t="s">
        <v>1697</v>
      </c>
      <c r="C33" s="420">
        <f>项目基本情况!C17</f>
        <v>162.94</v>
      </c>
      <c r="D33" s="127">
        <v>100</v>
      </c>
      <c r="E33" s="381">
        <v>148.94999999999999</v>
      </c>
      <c r="F33" s="376">
        <f>LOOKUP(E33,103:103,104:104)-LOOKUP(C33,103:103,104:104)+100</f>
        <v>102</v>
      </c>
      <c r="G33" s="380">
        <v>139.9</v>
      </c>
      <c r="H33" s="127">
        <f>LOOKUP(G33,103:103,104:104)-LOOKUP(C33,103:103,104:104)+100</f>
        <v>102</v>
      </c>
      <c r="I33" s="381">
        <v>162.27000000000001</v>
      </c>
      <c r="J33" s="127">
        <f>LOOKUP(I33,103:103,104:104)-LOOKUP(C33,103:103,104:104)+100</f>
        <v>100</v>
      </c>
      <c r="K33" s="1894"/>
      <c r="L33" s="2719"/>
      <c r="M33" s="2721"/>
      <c r="N33" s="2721"/>
      <c r="O33" s="2721"/>
      <c r="P33" s="3681"/>
      <c r="Q33" s="707" t="str">
        <f t="shared" si="11"/>
        <v>项目建筑规模</v>
      </c>
      <c r="R33" s="708" t="s">
        <v>18</v>
      </c>
      <c r="S33" s="709">
        <f t="shared" si="12"/>
        <v>102</v>
      </c>
      <c r="T33" s="708" t="s">
        <v>18</v>
      </c>
      <c r="U33" s="709">
        <f t="shared" si="13"/>
        <v>102</v>
      </c>
      <c r="V33" s="708" t="s">
        <v>18</v>
      </c>
      <c r="W33" s="709">
        <f t="shared" si="14"/>
        <v>100</v>
      </c>
      <c r="X33" s="710"/>
      <c r="Y33" s="3683"/>
      <c r="Z33" s="711" t="str">
        <f t="shared" si="18"/>
        <v>项目建筑规模</v>
      </c>
      <c r="AA33" s="1353">
        <f t="shared" si="15"/>
        <v>0.98039215686274506</v>
      </c>
      <c r="AB33" s="1353">
        <f t="shared" si="16"/>
        <v>0.98039215686274506</v>
      </c>
      <c r="AC33" s="1353">
        <f t="shared" si="17"/>
        <v>1</v>
      </c>
    </row>
    <row r="34" spans="1:29" ht="15">
      <c r="A34" s="423"/>
      <c r="B34" s="375" t="s">
        <v>1698</v>
      </c>
      <c r="C34" s="1912" t="s">
        <v>3386</v>
      </c>
      <c r="D34" s="386">
        <v>100</v>
      </c>
      <c r="E34" s="1913" t="s">
        <v>3386</v>
      </c>
      <c r="F34" s="412">
        <f>SUMIF(105:105,E34,106:106)-SUMIF(105:105,C34,106:106)+100</f>
        <v>100</v>
      </c>
      <c r="G34" s="1912" t="s">
        <v>3386</v>
      </c>
      <c r="H34" s="386">
        <f>SUMIF(105:105,G34,106:106)-SUMIF(105:105,C34,106:106)+100</f>
        <v>100</v>
      </c>
      <c r="I34" s="1913" t="s">
        <v>3386</v>
      </c>
      <c r="J34" s="386">
        <f>SUMIF(105:105,I34,106:106)-SUMIF(105:105,C34,106:106)+100</f>
        <v>100</v>
      </c>
      <c r="K34" s="377"/>
      <c r="L34" s="2720"/>
      <c r="M34" s="2714"/>
      <c r="N34" s="2714"/>
      <c r="O34" s="2714"/>
      <c r="P34" s="3681"/>
      <c r="Q34" s="1352" t="str">
        <f t="shared" si="11"/>
        <v>建筑结构</v>
      </c>
      <c r="R34" s="705" t="s">
        <v>18</v>
      </c>
      <c r="S34" s="706">
        <f t="shared" si="12"/>
        <v>100</v>
      </c>
      <c r="T34" s="705" t="s">
        <v>18</v>
      </c>
      <c r="U34" s="706">
        <f t="shared" si="13"/>
        <v>100</v>
      </c>
      <c r="V34" s="705" t="s">
        <v>18</v>
      </c>
      <c r="W34" s="706">
        <f t="shared" si="14"/>
        <v>100</v>
      </c>
      <c r="X34" s="1355"/>
      <c r="Y34" s="368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81"/>
      <c r="Q35" s="1352" t="str">
        <f t="shared" si="11"/>
        <v>建筑品质</v>
      </c>
      <c r="R35" s="705" t="s">
        <v>18</v>
      </c>
      <c r="S35" s="706">
        <f t="shared" si="12"/>
        <v>100</v>
      </c>
      <c r="T35" s="705" t="s">
        <v>18</v>
      </c>
      <c r="U35" s="706">
        <f t="shared" si="13"/>
        <v>100</v>
      </c>
      <c r="V35" s="705" t="s">
        <v>18</v>
      </c>
      <c r="W35" s="706">
        <f t="shared" si="14"/>
        <v>100</v>
      </c>
      <c r="X35" s="1355"/>
      <c r="Y35" s="3683"/>
      <c r="Z35" s="1356" t="str">
        <f t="shared" si="18"/>
        <v>建筑品质</v>
      </c>
      <c r="AA35" s="1353">
        <f t="shared" si="15"/>
        <v>1</v>
      </c>
      <c r="AB35" s="1353">
        <f t="shared" si="16"/>
        <v>1</v>
      </c>
      <c r="AC35" s="1353">
        <f t="shared" si="17"/>
        <v>1</v>
      </c>
    </row>
    <row r="36" spans="1:29" ht="15">
      <c r="A36" s="423"/>
      <c r="B36" s="375" t="s">
        <v>1700</v>
      </c>
      <c r="C36" s="1906" t="s">
        <v>3423</v>
      </c>
      <c r="D36" s="386">
        <v>100</v>
      </c>
      <c r="E36" s="1907" t="s">
        <v>3423</v>
      </c>
      <c r="F36" s="412">
        <f>SUMIF(109:109,E36,110:110)-SUMIF(109:109,C36,110:110)+100</f>
        <v>100</v>
      </c>
      <c r="G36" s="1906" t="s">
        <v>3423</v>
      </c>
      <c r="H36" s="386">
        <f>SUMIF(109:109,G36,110:110)-SUMIF(109:109,C36,110:110)+100</f>
        <v>100</v>
      </c>
      <c r="I36" s="1907" t="s">
        <v>3423</v>
      </c>
      <c r="J36" s="386">
        <f>SUMIF(109:109,I36,110:110)-SUMIF(109:109,C36,110:110)+100</f>
        <v>100</v>
      </c>
      <c r="K36" s="377"/>
      <c r="L36" s="2720"/>
      <c r="M36" s="2714"/>
      <c r="N36" s="2714"/>
      <c r="O36" s="2714"/>
      <c r="P36" s="3681"/>
      <c r="Q36" s="1352" t="str">
        <f t="shared" si="11"/>
        <v>公共部分装修</v>
      </c>
      <c r="R36" s="705" t="s">
        <v>18</v>
      </c>
      <c r="S36" s="706">
        <f t="shared" si="12"/>
        <v>100</v>
      </c>
      <c r="T36" s="705" t="s">
        <v>18</v>
      </c>
      <c r="U36" s="706">
        <f t="shared" si="13"/>
        <v>100</v>
      </c>
      <c r="V36" s="705" t="s">
        <v>18</v>
      </c>
      <c r="W36" s="706">
        <f t="shared" si="14"/>
        <v>100</v>
      </c>
      <c r="X36" s="1355"/>
      <c r="Y36" s="3683"/>
      <c r="Z36" s="1356" t="str">
        <f t="shared" si="18"/>
        <v>公共部分装修</v>
      </c>
      <c r="AA36" s="1353">
        <f t="shared" si="15"/>
        <v>1</v>
      </c>
      <c r="AB36" s="1353">
        <f t="shared" si="16"/>
        <v>1</v>
      </c>
      <c r="AC36" s="1353">
        <f t="shared" si="17"/>
        <v>1</v>
      </c>
    </row>
    <row r="37" spans="1:29" s="108" customFormat="1" ht="15">
      <c r="A37" s="424"/>
      <c r="B37" s="375" t="s">
        <v>1701</v>
      </c>
      <c r="C37" s="425">
        <v>0.7</v>
      </c>
      <c r="D37" s="127">
        <v>100</v>
      </c>
      <c r="E37" s="425">
        <f>C37</f>
        <v>0.7</v>
      </c>
      <c r="F37" s="376">
        <f>LOOKUP(E37,112:112,113:113)-LOOKUP(C37,112:112,113:113)+100</f>
        <v>100</v>
      </c>
      <c r="G37" s="427">
        <f>C37</f>
        <v>0.7</v>
      </c>
      <c r="H37" s="127">
        <f>LOOKUP(G37,112:112,113:113)-LOOKUP(C37,112:112,113:113)+100</f>
        <v>100</v>
      </c>
      <c r="I37" s="426">
        <f>C37</f>
        <v>0.7</v>
      </c>
      <c r="J37" s="127">
        <f>LOOKUP(I37,112:112,113:113)-LOOKUP(C37,112:112,113:113)+100</f>
        <v>100</v>
      </c>
      <c r="K37" s="377"/>
      <c r="L37" s="2715"/>
      <c r="M37" s="2716"/>
      <c r="N37" s="2716"/>
      <c r="O37" s="2716"/>
      <c r="P37" s="3681"/>
      <c r="Q37" s="1343" t="str">
        <f t="shared" si="11"/>
        <v>成新度</v>
      </c>
      <c r="R37" s="701" t="s">
        <v>18</v>
      </c>
      <c r="S37" s="702">
        <f t="shared" si="12"/>
        <v>100</v>
      </c>
      <c r="T37" s="701" t="s">
        <v>18</v>
      </c>
      <c r="U37" s="702">
        <f t="shared" si="13"/>
        <v>100</v>
      </c>
      <c r="V37" s="701" t="s">
        <v>18</v>
      </c>
      <c r="W37" s="702">
        <f t="shared" si="14"/>
        <v>100</v>
      </c>
      <c r="X37" s="703"/>
      <c r="Y37" s="3683"/>
      <c r="Z37" s="52" t="str">
        <f t="shared" si="18"/>
        <v>成新度</v>
      </c>
      <c r="AA37" s="704">
        <f t="shared" si="15"/>
        <v>1</v>
      </c>
      <c r="AB37" s="704">
        <f t="shared" si="16"/>
        <v>1</v>
      </c>
      <c r="AC37" s="704">
        <f t="shared" si="17"/>
        <v>1</v>
      </c>
    </row>
    <row r="38" spans="1:29" ht="15">
      <c r="A38" s="423"/>
      <c r="B38" s="375" t="s">
        <v>1702</v>
      </c>
      <c r="C38" s="1906" t="s">
        <v>3425</v>
      </c>
      <c r="D38" s="386">
        <v>100</v>
      </c>
      <c r="E38" s="1907" t="s">
        <v>3425</v>
      </c>
      <c r="F38" s="412">
        <f>SUMIF(114:114,E38,115:115)-SUMIF(114:114,C38,115:115)+100</f>
        <v>100</v>
      </c>
      <c r="G38" s="1906" t="s">
        <v>3425</v>
      </c>
      <c r="H38" s="386">
        <f>SUMIF(114:114,G38,115:115)-SUMIF(114:114,C38,115:115)+100</f>
        <v>100</v>
      </c>
      <c r="I38" s="1907" t="s">
        <v>3425</v>
      </c>
      <c r="J38" s="386">
        <f>SUMIF(114:114,I38,115:115)-SUMIF(114:114,C38,115:115)+100</f>
        <v>100</v>
      </c>
      <c r="K38" s="377"/>
      <c r="L38" s="2720"/>
      <c r="M38" s="2714"/>
      <c r="N38" s="2714"/>
      <c r="O38" s="2714"/>
      <c r="P38" s="3681" t="s">
        <v>1696</v>
      </c>
      <c r="Q38" s="1352" t="str">
        <f t="shared" si="11"/>
        <v>物业管理</v>
      </c>
      <c r="R38" s="705" t="s">
        <v>18</v>
      </c>
      <c r="S38" s="706">
        <f t="shared" si="12"/>
        <v>100</v>
      </c>
      <c r="T38" s="705" t="s">
        <v>18</v>
      </c>
      <c r="U38" s="706">
        <f t="shared" si="13"/>
        <v>100</v>
      </c>
      <c r="V38" s="705" t="s">
        <v>18</v>
      </c>
      <c r="W38" s="706">
        <f t="shared" si="14"/>
        <v>100</v>
      </c>
      <c r="X38" s="1355"/>
      <c r="Y38" s="3683" t="s">
        <v>1696</v>
      </c>
      <c r="Z38" s="1356" t="str">
        <f t="shared" si="18"/>
        <v>物业管理</v>
      </c>
      <c r="AA38" s="1353">
        <f t="shared" si="15"/>
        <v>1</v>
      </c>
      <c r="AB38" s="1353">
        <f t="shared" si="16"/>
        <v>1</v>
      </c>
      <c r="AC38" s="1353">
        <f t="shared" si="17"/>
        <v>1</v>
      </c>
    </row>
    <row r="39" spans="1:29" ht="15">
      <c r="A39" s="423"/>
      <c r="B39" s="375" t="s">
        <v>1703</v>
      </c>
      <c r="C39" s="1906" t="s">
        <v>3409</v>
      </c>
      <c r="D39" s="386">
        <v>100</v>
      </c>
      <c r="E39" s="1907" t="s">
        <v>3409</v>
      </c>
      <c r="F39" s="412">
        <f>SUMIF(116:116,E39,117:117)-SUMIF(116:116,C39,117:117)+100</f>
        <v>100</v>
      </c>
      <c r="G39" s="1906" t="s">
        <v>3409</v>
      </c>
      <c r="H39" s="386">
        <f>SUMIF(116:116,G39,117:117)-SUMIF(116:116,C39,117:117)+100</f>
        <v>100</v>
      </c>
      <c r="I39" s="1907" t="s">
        <v>3409</v>
      </c>
      <c r="J39" s="386">
        <f>SUMIF(116:116,I39,117:117)-SUMIF(116:116,C39,117:117)+100</f>
        <v>100</v>
      </c>
      <c r="K39" s="377"/>
      <c r="L39" s="2720"/>
      <c r="M39" s="2714"/>
      <c r="N39" s="2714"/>
      <c r="O39" s="2714"/>
      <c r="P39" s="3681"/>
      <c r="Q39" s="1352" t="str">
        <f t="shared" si="11"/>
        <v>市政基础设施</v>
      </c>
      <c r="R39" s="705" t="s">
        <v>18</v>
      </c>
      <c r="S39" s="706">
        <f t="shared" si="12"/>
        <v>100</v>
      </c>
      <c r="T39" s="705" t="s">
        <v>18</v>
      </c>
      <c r="U39" s="706">
        <f t="shared" si="13"/>
        <v>100</v>
      </c>
      <c r="V39" s="705" t="s">
        <v>18</v>
      </c>
      <c r="W39" s="706">
        <f t="shared" si="14"/>
        <v>100</v>
      </c>
      <c r="X39" s="1355"/>
      <c r="Y39" s="3683"/>
      <c r="Z39" s="1356" t="str">
        <f t="shared" si="18"/>
        <v>市政基础设施</v>
      </c>
      <c r="AA39" s="1353">
        <f t="shared" si="15"/>
        <v>1</v>
      </c>
      <c r="AB39" s="1353">
        <f t="shared" si="16"/>
        <v>1</v>
      </c>
      <c r="AC39" s="1353">
        <f t="shared" si="17"/>
        <v>1</v>
      </c>
    </row>
    <row r="40" spans="1:29" ht="15">
      <c r="A40" s="423"/>
      <c r="B40" s="375" t="s">
        <v>1704</v>
      </c>
      <c r="C40" s="1906" t="s">
        <v>3428</v>
      </c>
      <c r="D40" s="386">
        <v>100</v>
      </c>
      <c r="E40" s="1907" t="s">
        <v>3428</v>
      </c>
      <c r="F40" s="412">
        <f>SUMIF(118:118,E40,119:119)-SUMIF(118:118,C40,119:119)+100</f>
        <v>100</v>
      </c>
      <c r="G40" s="1906" t="s">
        <v>3428</v>
      </c>
      <c r="H40" s="386">
        <f>SUMIF(118:118,G40,119:119)-SUMIF(118:118,C40,119:119)+100</f>
        <v>100</v>
      </c>
      <c r="I40" s="1907" t="s">
        <v>3428</v>
      </c>
      <c r="J40" s="386">
        <f>SUMIF(118:118,I40,119:119)-SUMIF(118:118,C40,119:119)+100</f>
        <v>100</v>
      </c>
      <c r="K40" s="377"/>
      <c r="L40" s="2720"/>
      <c r="M40" s="2714"/>
      <c r="N40" s="2714"/>
      <c r="O40" s="2714"/>
      <c r="P40" s="3681"/>
      <c r="Q40" s="1352" t="str">
        <f t="shared" si="11"/>
        <v>房型</v>
      </c>
      <c r="R40" s="705" t="s">
        <v>18</v>
      </c>
      <c r="S40" s="706">
        <f t="shared" si="12"/>
        <v>100</v>
      </c>
      <c r="T40" s="705" t="s">
        <v>18</v>
      </c>
      <c r="U40" s="706">
        <f t="shared" si="13"/>
        <v>100</v>
      </c>
      <c r="V40" s="705" t="s">
        <v>18</v>
      </c>
      <c r="W40" s="706">
        <f t="shared" si="14"/>
        <v>100</v>
      </c>
      <c r="X40" s="1355"/>
      <c r="Y40" s="368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81"/>
      <c r="Q41" s="707" t="str">
        <f t="shared" si="11"/>
        <v>单套/主力户型建筑面积</v>
      </c>
      <c r="R41" s="708" t="s">
        <v>18</v>
      </c>
      <c r="S41" s="709">
        <f t="shared" si="12"/>
        <v>100</v>
      </c>
      <c r="T41" s="708" t="s">
        <v>18</v>
      </c>
      <c r="U41" s="709">
        <f t="shared" si="13"/>
        <v>100</v>
      </c>
      <c r="V41" s="708" t="s">
        <v>18</v>
      </c>
      <c r="W41" s="709">
        <f t="shared" si="14"/>
        <v>100</v>
      </c>
      <c r="X41" s="710"/>
      <c r="Y41" s="3683"/>
      <c r="Z41" s="711" t="str">
        <f t="shared" si="18"/>
        <v>单套/主力户型建筑面积</v>
      </c>
      <c r="AA41" s="1353">
        <f t="shared" si="15"/>
        <v>1</v>
      </c>
      <c r="AB41" s="1353">
        <f t="shared" si="16"/>
        <v>1</v>
      </c>
      <c r="AC41" s="1353">
        <f t="shared" si="17"/>
        <v>1</v>
      </c>
    </row>
    <row r="42" spans="1:29" ht="15">
      <c r="A42" s="423"/>
      <c r="B42" s="375" t="s">
        <v>1706</v>
      </c>
      <c r="C42" s="1906" t="s">
        <v>3423</v>
      </c>
      <c r="D42" s="386">
        <v>100</v>
      </c>
      <c r="E42" s="1907" t="s">
        <v>3423</v>
      </c>
      <c r="F42" s="412">
        <f>SUMIF(122:122,E42,123:123)-SUMIF(122:122,C42,123:123)+100</f>
        <v>100</v>
      </c>
      <c r="G42" s="1906" t="s">
        <v>3423</v>
      </c>
      <c r="H42" s="386">
        <f>SUMIF(122:122,G42,123:123)-SUMIF(122:122,C42,123:123)+100</f>
        <v>100</v>
      </c>
      <c r="I42" s="1907" t="s">
        <v>3423</v>
      </c>
      <c r="J42" s="386">
        <f>SUMIF(122:122,I42,123:123)-SUMIF(122:122,C42,123:123)+100</f>
        <v>100</v>
      </c>
      <c r="K42" s="377"/>
      <c r="L42" s="2720"/>
      <c r="M42" s="2714"/>
      <c r="N42" s="2714"/>
      <c r="O42" s="2714"/>
      <c r="P42" s="3681"/>
      <c r="Q42" s="1352" t="str">
        <f t="shared" si="11"/>
        <v>内部装修</v>
      </c>
      <c r="R42" s="705" t="s">
        <v>18</v>
      </c>
      <c r="S42" s="706">
        <f t="shared" si="12"/>
        <v>100</v>
      </c>
      <c r="T42" s="705" t="s">
        <v>18</v>
      </c>
      <c r="U42" s="706">
        <f t="shared" si="13"/>
        <v>100</v>
      </c>
      <c r="V42" s="705" t="s">
        <v>18</v>
      </c>
      <c r="W42" s="706">
        <f t="shared" si="14"/>
        <v>100</v>
      </c>
      <c r="X42" s="1355"/>
      <c r="Y42" s="368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81"/>
      <c r="Q43" s="1352" t="str">
        <f t="shared" si="11"/>
        <v>内部装修维护情况</v>
      </c>
      <c r="R43" s="705" t="s">
        <v>18</v>
      </c>
      <c r="S43" s="706">
        <f t="shared" si="12"/>
        <v>100</v>
      </c>
      <c r="T43" s="705" t="s">
        <v>18</v>
      </c>
      <c r="U43" s="706">
        <f t="shared" si="13"/>
        <v>100</v>
      </c>
      <c r="V43" s="705" t="s">
        <v>18</v>
      </c>
      <c r="W43" s="706">
        <f t="shared" si="14"/>
        <v>100</v>
      </c>
      <c r="X43" s="1355"/>
      <c r="Y43" s="3683"/>
      <c r="Z43" s="1356" t="str">
        <f t="shared" si="18"/>
        <v>内部装修维护情况</v>
      </c>
      <c r="AA43" s="1353">
        <f t="shared" si="15"/>
        <v>1</v>
      </c>
      <c r="AB43" s="1353">
        <f t="shared" si="16"/>
        <v>1</v>
      </c>
      <c r="AC43" s="1353">
        <f t="shared" si="17"/>
        <v>1</v>
      </c>
    </row>
    <row r="44" spans="1:29" s="108" customFormat="1" ht="15">
      <c r="A44" s="424"/>
      <c r="B44" s="3456" t="s">
        <v>3431</v>
      </c>
      <c r="C44" s="420">
        <v>2005</v>
      </c>
      <c r="D44" s="127">
        <v>100</v>
      </c>
      <c r="E44" s="420">
        <f>C44</f>
        <v>2005</v>
      </c>
      <c r="F44" s="376">
        <f>SUMIF(126:126,E44,127:127)-SUMIF(126:126,C44,127:127)+100</f>
        <v>100</v>
      </c>
      <c r="G44" s="420">
        <v>2004</v>
      </c>
      <c r="H44" s="127">
        <f>SUMIF(126:126,G44,127:127)-SUMIF(126:126,C44,127:127)+100</f>
        <v>99.5</v>
      </c>
      <c r="I44" s="420">
        <f>C44</f>
        <v>2005</v>
      </c>
      <c r="J44" s="127">
        <f>SUMIF(126:126,I44,127:127)-SUMIF(126:126,C44,127:127)+100</f>
        <v>100</v>
      </c>
      <c r="K44" s="1894"/>
      <c r="L44" s="2715"/>
      <c r="M44" s="2716"/>
      <c r="N44" s="2716"/>
      <c r="O44" s="2716"/>
      <c r="P44" s="3681"/>
      <c r="Q44" s="1343" t="str">
        <f t="shared" si="11"/>
        <v>建成年代</v>
      </c>
      <c r="R44" s="701" t="s">
        <v>18</v>
      </c>
      <c r="S44" s="702">
        <f t="shared" si="12"/>
        <v>100</v>
      </c>
      <c r="T44" s="701" t="s">
        <v>18</v>
      </c>
      <c r="U44" s="702">
        <f t="shared" si="13"/>
        <v>99.5</v>
      </c>
      <c r="V44" s="701" t="s">
        <v>18</v>
      </c>
      <c r="W44" s="702">
        <f t="shared" si="14"/>
        <v>100</v>
      </c>
      <c r="X44" s="703"/>
      <c r="Y44" s="3683"/>
      <c r="Z44" s="52" t="str">
        <f t="shared" si="18"/>
        <v>建成年代</v>
      </c>
      <c r="AA44" s="704">
        <f t="shared" si="15"/>
        <v>1</v>
      </c>
      <c r="AB44" s="704">
        <f t="shared" si="16"/>
        <v>1.0050251256281406</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81"/>
      <c r="Q45" s="1352">
        <f t="shared" si="11"/>
        <v>111</v>
      </c>
      <c r="R45" s="705" t="s">
        <v>18</v>
      </c>
      <c r="S45" s="706">
        <f t="shared" si="12"/>
        <v>100</v>
      </c>
      <c r="T45" s="705" t="s">
        <v>18</v>
      </c>
      <c r="U45" s="706">
        <f t="shared" si="13"/>
        <v>100</v>
      </c>
      <c r="V45" s="705" t="s">
        <v>18</v>
      </c>
      <c r="W45" s="706">
        <f t="shared" si="14"/>
        <v>100</v>
      </c>
      <c r="X45" s="1355"/>
      <c r="Y45" s="368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82"/>
      <c r="Q46" s="1352">
        <f t="shared" si="11"/>
        <v>111</v>
      </c>
      <c r="R46" s="705" t="s">
        <v>17</v>
      </c>
      <c r="S46" s="706">
        <f t="shared" si="12"/>
        <v>100</v>
      </c>
      <c r="T46" s="705" t="s">
        <v>17</v>
      </c>
      <c r="U46" s="706">
        <f t="shared" si="13"/>
        <v>100</v>
      </c>
      <c r="V46" s="705" t="s">
        <v>17</v>
      </c>
      <c r="W46" s="706">
        <f t="shared" si="14"/>
        <v>100</v>
      </c>
      <c r="X46" s="1355"/>
      <c r="Y46" s="3684"/>
      <c r="Z46" s="1356">
        <f t="shared" si="18"/>
        <v>111</v>
      </c>
      <c r="AA46" s="1353">
        <f t="shared" si="15"/>
        <v>1</v>
      </c>
      <c r="AB46" s="1353">
        <f t="shared" si="16"/>
        <v>1</v>
      </c>
      <c r="AC46" s="1353">
        <f t="shared" si="17"/>
        <v>1</v>
      </c>
    </row>
    <row r="47" spans="1:29" ht="15">
      <c r="A47" s="430" t="s">
        <v>1708</v>
      </c>
      <c r="B47" s="431"/>
      <c r="C47" s="1154" t="s">
        <v>16</v>
      </c>
      <c r="D47" s="1155"/>
      <c r="E47" s="1156">
        <v>73179</v>
      </c>
      <c r="F47" s="1157"/>
      <c r="G47" s="1158">
        <v>71909</v>
      </c>
      <c r="H47" s="1159"/>
      <c r="I47" s="1156">
        <v>64091</v>
      </c>
      <c r="J47" s="1159"/>
      <c r="K47" s="1914"/>
      <c r="L47" s="2722"/>
      <c r="M47" s="2723"/>
      <c r="N47" s="2714"/>
      <c r="O47" s="2723"/>
      <c r="P47" s="3676" t="str">
        <f>A47</f>
        <v>成交单价（元/平方米）</v>
      </c>
      <c r="Q47" s="3676"/>
      <c r="R47" s="3677">
        <f>E47</f>
        <v>73179</v>
      </c>
      <c r="S47" s="3677"/>
      <c r="T47" s="3677">
        <f>G47</f>
        <v>71909</v>
      </c>
      <c r="U47" s="3677"/>
      <c r="V47" s="3677">
        <f>I47</f>
        <v>64091</v>
      </c>
      <c r="W47" s="3677"/>
      <c r="X47" s="690"/>
      <c r="Y47" s="712"/>
      <c r="Z47" s="690"/>
      <c r="AA47" s="690"/>
      <c r="AB47" s="690"/>
      <c r="AC47" s="690"/>
    </row>
    <row r="48" spans="1:29" ht="15.75" thickBot="1">
      <c r="A48" s="437" t="s">
        <v>1709</v>
      </c>
      <c r="B48" s="438"/>
      <c r="C48" s="1160">
        <f>R49</f>
        <v>68668</v>
      </c>
      <c r="D48" s="2317" t="s">
        <v>2138</v>
      </c>
      <c r="E48" s="1161">
        <f>R48</f>
        <v>69984</v>
      </c>
      <c r="F48" s="2318"/>
      <c r="G48" s="1160">
        <f>T48</f>
        <v>70533</v>
      </c>
      <c r="H48" s="2318"/>
      <c r="I48" s="1161">
        <f>V48</f>
        <v>65487</v>
      </c>
      <c r="J48" s="2318"/>
      <c r="K48" s="2319">
        <f>F48+H48+J48</f>
        <v>0</v>
      </c>
      <c r="L48" s="2722"/>
      <c r="M48" s="2723"/>
      <c r="N48" s="2723"/>
      <c r="O48" s="2723"/>
      <c r="P48" s="3676" t="str">
        <f>A48</f>
        <v>比较价值（元/平方米）</v>
      </c>
      <c r="Q48" s="3676"/>
      <c r="R48" s="3677">
        <f>IF(F1="售价",ROUND(PRODUCT(R47,AA7:AA46),0),ROUND(PRODUCT(R47,AA7:AA46),1))</f>
        <v>69984</v>
      </c>
      <c r="S48" s="3677"/>
      <c r="T48" s="3677">
        <f>IF(F1="售价",ROUND(PRODUCT(T47,AB7:AB46),0),ROUND(PRODUCT(T47,AB7:AB46),1))</f>
        <v>70533</v>
      </c>
      <c r="U48" s="3677"/>
      <c r="V48" s="3677">
        <f>IF(F1="售价",ROUND(PRODUCT(V47,AC7:AC46),0),ROUND(PRODUCT(V47,AC7:AC46),1))</f>
        <v>65487</v>
      </c>
      <c r="W48" s="3677"/>
      <c r="X48" s="690"/>
      <c r="Y48" s="690"/>
      <c r="Z48" s="690"/>
      <c r="AA48" s="690"/>
      <c r="AB48" s="690"/>
      <c r="AC48" s="690"/>
    </row>
    <row r="49" spans="1:29" ht="15.75" thickBot="1">
      <c r="A49" s="441" t="s">
        <v>1710</v>
      </c>
      <c r="B49" s="442"/>
      <c r="C49" s="1162">
        <f>R49</f>
        <v>68668</v>
      </c>
      <c r="D49" s="1163"/>
      <c r="E49" s="1163"/>
      <c r="F49" s="1163"/>
      <c r="G49" s="1163"/>
      <c r="H49" s="1163"/>
      <c r="I49" s="1163"/>
      <c r="J49" s="1163"/>
      <c r="K49" s="1915"/>
      <c r="L49" s="2722"/>
      <c r="M49" s="2723"/>
      <c r="N49" s="2723"/>
      <c r="O49" s="2723"/>
      <c r="P49" s="3673" t="str">
        <f>A49</f>
        <v>估价对象XX用房的比较价值（楼面单价，元/平方米）</v>
      </c>
      <c r="Q49" s="3674"/>
      <c r="R49" s="3675">
        <f>IF(F1="售价",ROUND(IF(D48="简单平均",AVERAGE(R48:V48),R48*F48+T48*H48+V48*J48),0),ROUND(IF(D48="简单平均",AVERAGE(R48:V48),R48*F48+T48*H48+V48*J48),1))</f>
        <v>68668</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4.5653292181069949E-2</v>
      </c>
      <c r="F52" s="449" t="str">
        <f>IF(OR(E52&gt;=0.3,E52&lt;=-0.3),"超过30%","")</f>
        <v/>
      </c>
      <c r="G52" s="448">
        <f>IF(G47&lt;G48,G48/G47-1,G47/G48-1)</f>
        <v>1.9508598811903699E-2</v>
      </c>
      <c r="H52" s="449" t="str">
        <f>IF(OR(G52&gt;=0.3,G52&lt;=-0.3),"超过30%","")</f>
        <v/>
      </c>
      <c r="I52" s="448">
        <f>IF(I47&lt;I48,I48/I47-1,I47/I48-1)</f>
        <v>2.1781529387901566E-2</v>
      </c>
      <c r="J52" s="449" t="str">
        <f>IF(OR(I52&gt;=0.3,I52&lt;=-0.3),"超过30%","")</f>
        <v/>
      </c>
      <c r="K52" s="2728"/>
      <c r="L52" s="2724"/>
      <c r="M52" s="2723"/>
      <c r="N52" s="2723"/>
      <c r="O52" s="2723"/>
    </row>
    <row r="53" spans="1:29" ht="13.5" customHeight="1">
      <c r="A53" s="2723"/>
      <c r="B53" s="2723"/>
      <c r="C53" s="446" t="s">
        <v>1712</v>
      </c>
      <c r="D53" s="450"/>
      <c r="E53" s="448">
        <f>IF(E48&lt;G48,G48/E48-1,E48/G48-1)</f>
        <v>7.8446502057614165E-3</v>
      </c>
      <c r="F53" s="449" t="str">
        <f>IF(OR(E53&gt;=0.2,E53&lt;=-0.2),"超过20%","")</f>
        <v/>
      </c>
      <c r="G53" s="448">
        <f>IF(G48&lt;I48,I48/G48-1,G48/I48-1)</f>
        <v>7.7053460992257961E-2</v>
      </c>
      <c r="H53" s="449" t="str">
        <f>IF(OR(G53&gt;=0.2,G53&lt;=-0.2),"超过20%","")</f>
        <v/>
      </c>
      <c r="I53" s="448">
        <f>IF(I48&lt;E48,E48/I48-1,I48/E48-1)</f>
        <v>6.8670117733290681E-2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1.7661210696853002E-2</v>
      </c>
      <c r="F54" s="449" t="str">
        <f>IF(OR(E54&gt;=0.3,E54&lt;=-0.3),"超过30%","")</f>
        <v/>
      </c>
      <c r="G54" s="448">
        <f>IF(G47&lt;I47,I47/G47-1,G47/I47-1)</f>
        <v>0.12198280569814801</v>
      </c>
      <c r="H54" s="449" t="str">
        <f>IF(OR(G54&gt;=0.3,G54&lt;=-0.3),"超过30%","")</f>
        <v/>
      </c>
      <c r="I54" s="448">
        <f>IF(I47&lt;E47,E47/I47-1,I47/E47-1)</f>
        <v>0.14179838042782911</v>
      </c>
      <c r="J54" s="449" t="str">
        <f>IF(OR(I54&gt;=0.3,I54&lt;=-0.3),"超过30%","")</f>
        <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v>100</v>
      </c>
      <c r="E59" s="461">
        <v>102</v>
      </c>
      <c r="F59" s="461">
        <f>E59</f>
        <v>102</v>
      </c>
      <c r="G59" s="461">
        <f>E59</f>
        <v>102</v>
      </c>
      <c r="H59" s="461">
        <f>E59</f>
        <v>102</v>
      </c>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t="str">
        <f>C9</f>
        <v>住宅</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1（含）-3</v>
      </c>
      <c r="D67" s="496" t="str">
        <f t="shared" ref="D67:L67" si="20">D68&amp;"（含）"&amp;"-"&amp;E68</f>
        <v>3（含）-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v>1</v>
      </c>
      <c r="D68" s="498">
        <v>3</v>
      </c>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3450" t="s">
        <v>3397</v>
      </c>
      <c r="D88" s="3450" t="s">
        <v>3401</v>
      </c>
      <c r="E88" s="3450" t="s">
        <v>3412</v>
      </c>
      <c r="F88" s="3455" t="s">
        <v>3399</v>
      </c>
      <c r="G88" s="3450" t="s">
        <v>3411</v>
      </c>
      <c r="H88" s="503"/>
      <c r="I88" s="503"/>
      <c r="J88" s="503"/>
      <c r="K88" s="503"/>
      <c r="L88" s="503"/>
      <c r="M88" s="530"/>
      <c r="N88" s="932"/>
      <c r="O88" s="932"/>
      <c r="P88" s="1922"/>
      <c r="Q88" s="453"/>
    </row>
    <row r="89" spans="1:17" s="108" customFormat="1" ht="15.75" thickBot="1">
      <c r="A89" s="528"/>
      <c r="B89" s="492"/>
      <c r="C89" s="531">
        <v>100</v>
      </c>
      <c r="D89" s="493">
        <f t="shared" ref="D89:M89" si="24">C89-$K26</f>
        <v>99.5</v>
      </c>
      <c r="E89" s="493">
        <f t="shared" si="24"/>
        <v>99</v>
      </c>
      <c r="F89" s="493">
        <f t="shared" si="24"/>
        <v>98.5</v>
      </c>
      <c r="G89" s="493">
        <f t="shared" si="24"/>
        <v>98</v>
      </c>
      <c r="H89" s="493">
        <f t="shared" si="24"/>
        <v>97.5</v>
      </c>
      <c r="I89" s="493">
        <f t="shared" si="24"/>
        <v>97</v>
      </c>
      <c r="J89" s="493">
        <f t="shared" si="24"/>
        <v>96.5</v>
      </c>
      <c r="K89" s="493">
        <f t="shared" si="24"/>
        <v>96</v>
      </c>
      <c r="L89" s="493">
        <f t="shared" si="24"/>
        <v>95.5</v>
      </c>
      <c r="M89" s="493">
        <f t="shared" si="24"/>
        <v>95</v>
      </c>
      <c r="N89" s="934"/>
      <c r="O89" s="934"/>
      <c r="P89" s="1922"/>
      <c r="Q89" s="453"/>
    </row>
    <row r="90" spans="1:17" s="422" customFormat="1" ht="15.75" thickTop="1">
      <c r="A90" s="502"/>
      <c r="B90" s="487" t="str">
        <f>B27</f>
        <v>楼层</v>
      </c>
      <c r="C90" s="503" t="s">
        <v>3414</v>
      </c>
      <c r="D90" s="3457" t="s">
        <v>3415</v>
      </c>
      <c r="E90" s="3457" t="s">
        <v>3416</v>
      </c>
      <c r="F90" s="3457" t="s">
        <v>3417</v>
      </c>
      <c r="G90" s="503"/>
      <c r="H90" s="504"/>
      <c r="I90" s="504"/>
      <c r="J90" s="504"/>
      <c r="K90" s="504"/>
      <c r="L90" s="505"/>
      <c r="M90" s="506"/>
      <c r="N90" s="935"/>
      <c r="O90" s="935"/>
      <c r="P90" s="1923"/>
      <c r="Q90" s="508"/>
    </row>
    <row r="91" spans="1:17" s="422" customFormat="1" ht="15.75" thickBot="1">
      <c r="A91" s="502"/>
      <c r="B91" s="492"/>
      <c r="C91" s="509">
        <v>100</v>
      </c>
      <c r="D91" s="509">
        <v>100</v>
      </c>
      <c r="E91" s="509">
        <v>98</v>
      </c>
      <c r="F91" s="509">
        <v>95</v>
      </c>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3458" t="s">
        <v>3419</v>
      </c>
      <c r="D100" s="3458" t="s">
        <v>3421</v>
      </c>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99</v>
      </c>
      <c r="E101" s="493">
        <f t="shared" si="25"/>
        <v>98</v>
      </c>
      <c r="F101" s="493">
        <f t="shared" si="25"/>
        <v>97</v>
      </c>
      <c r="G101" s="493">
        <f t="shared" si="25"/>
        <v>96</v>
      </c>
      <c r="H101" s="493">
        <f t="shared" si="25"/>
        <v>95</v>
      </c>
      <c r="I101" s="493">
        <f t="shared" si="25"/>
        <v>94</v>
      </c>
      <c r="J101" s="493">
        <f t="shared" si="25"/>
        <v>93</v>
      </c>
      <c r="K101" s="493">
        <f t="shared" si="25"/>
        <v>92</v>
      </c>
      <c r="L101" s="493">
        <f t="shared" si="25"/>
        <v>91</v>
      </c>
      <c r="M101" s="493">
        <f t="shared" si="25"/>
        <v>90</v>
      </c>
      <c r="N101" s="934"/>
      <c r="O101" s="934"/>
      <c r="P101" s="1922"/>
      <c r="Q101" s="453"/>
    </row>
    <row r="102" spans="1:17" ht="15.75" thickTop="1">
      <c r="A102" s="483"/>
      <c r="B102" s="487" t="s">
        <v>1737</v>
      </c>
      <c r="C102" s="527" t="str">
        <f>C103&amp;"(含)"&amp;"-"&amp;D103</f>
        <v>0(含)-120</v>
      </c>
      <c r="D102" s="527" t="str">
        <f t="shared" ref="D102:L102" si="26">D103&amp;"(含)"&amp;"-"&amp;E103</f>
        <v>120(含)-150</v>
      </c>
      <c r="E102" s="527" t="str">
        <f t="shared" si="26"/>
        <v>150(含)-180</v>
      </c>
      <c r="F102" s="527" t="str">
        <f t="shared" si="26"/>
        <v>180(含)-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v>0</v>
      </c>
      <c r="D103" s="544">
        <v>120</v>
      </c>
      <c r="E103" s="544">
        <v>150</v>
      </c>
      <c r="F103" s="544">
        <v>180</v>
      </c>
      <c r="G103" s="544"/>
      <c r="H103" s="544"/>
      <c r="I103" s="544"/>
      <c r="J103" s="545"/>
      <c r="K103" s="545"/>
      <c r="L103" s="546"/>
      <c r="M103" s="547"/>
      <c r="N103" s="935"/>
      <c r="O103" s="935"/>
      <c r="P103" s="1923"/>
      <c r="Q103" s="508"/>
    </row>
    <row r="104" spans="1:17" s="422" customFormat="1" ht="15.75" thickBot="1">
      <c r="A104" s="502"/>
      <c r="B104" s="492"/>
      <c r="C104" s="509">
        <v>100</v>
      </c>
      <c r="D104" s="485">
        <v>98</v>
      </c>
      <c r="E104" s="485">
        <v>96</v>
      </c>
      <c r="F104" s="485">
        <v>94</v>
      </c>
      <c r="G104" s="485"/>
      <c r="H104" s="485"/>
      <c r="I104" s="485"/>
      <c r="J104" s="485"/>
      <c r="K104" s="485"/>
      <c r="L104" s="485"/>
      <c r="M104" s="485"/>
      <c r="N104" s="934"/>
      <c r="O104" s="934"/>
      <c r="P104" s="1923"/>
      <c r="Q104" s="508"/>
    </row>
    <row r="105" spans="1:17" ht="15" thickTop="1">
      <c r="A105" s="548"/>
      <c r="B105" s="487" t="s">
        <v>1738</v>
      </c>
      <c r="C105" s="3450" t="s">
        <v>3422</v>
      </c>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3450" t="s">
        <v>3424</v>
      </c>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3450" t="s">
        <v>3426</v>
      </c>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3450" t="s">
        <v>3427</v>
      </c>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3459" t="s">
        <v>3429</v>
      </c>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3450" t="s">
        <v>3424</v>
      </c>
      <c r="D122" s="3450" t="s">
        <v>3430</v>
      </c>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t="str">
        <f>B44</f>
        <v>建成年代</v>
      </c>
      <c r="C126" s="503">
        <v>2005</v>
      </c>
      <c r="D126" s="503">
        <v>2004</v>
      </c>
      <c r="E126" s="503"/>
      <c r="F126" s="503"/>
      <c r="G126" s="503"/>
      <c r="H126" s="504"/>
      <c r="I126" s="504"/>
      <c r="J126" s="504"/>
      <c r="K126" s="504"/>
      <c r="L126" s="505"/>
      <c r="M126" s="506"/>
      <c r="N126" s="935"/>
      <c r="O126" s="935"/>
      <c r="P126" s="1923"/>
      <c r="Q126" s="508"/>
    </row>
    <row r="127" spans="1:17" s="422" customFormat="1" ht="15.75" thickBot="1">
      <c r="A127" s="502"/>
      <c r="B127" s="492"/>
      <c r="C127" s="509">
        <v>100</v>
      </c>
      <c r="D127" s="485">
        <v>99.5</v>
      </c>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T16:T45"/>
  <sheetViews>
    <sheetView topLeftCell="C58" workbookViewId="0">
      <selection activeCell="A68" sqref="A68"/>
    </sheetView>
  </sheetViews>
  <sheetFormatPr defaultRowHeight="13.5"/>
  <sheetData>
    <row r="16" spans="20:20">
      <c r="T16" s="3448" t="s">
        <v>3388</v>
      </c>
    </row>
    <row r="23" spans="20:20">
      <c r="T23" s="3448" t="s">
        <v>3389</v>
      </c>
    </row>
    <row r="45" spans="20:20">
      <c r="T45" s="3448" t="s">
        <v>3390</v>
      </c>
    </row>
  </sheetData>
  <phoneticPr fontId="134" type="noConversion"/>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162.94</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707"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707"/>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707"/>
      <c r="AC6" s="3690"/>
    </row>
    <row r="7" spans="1:29" s="108" customFormat="1" ht="15.75" thickBot="1">
      <c r="A7" s="362" t="s">
        <v>1679</v>
      </c>
      <c r="B7" s="363"/>
      <c r="C7" s="364">
        <f>'数据-取费表'!B2</f>
        <v>45153</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87"/>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85" t="s">
        <v>1691</v>
      </c>
      <c r="Q15" s="1352" t="str">
        <f t="shared" si="6"/>
        <v>商业繁华度</v>
      </c>
      <c r="R15" s="705" t="s">
        <v>14</v>
      </c>
      <c r="S15" s="706">
        <f t="shared" si="0"/>
        <v>100</v>
      </c>
      <c r="T15" s="705" t="s">
        <v>14</v>
      </c>
      <c r="U15" s="706">
        <f t="shared" si="1"/>
        <v>100</v>
      </c>
      <c r="V15" s="705" t="s">
        <v>14</v>
      </c>
      <c r="W15" s="706">
        <f t="shared" si="2"/>
        <v>100</v>
      </c>
      <c r="X15" s="1355"/>
      <c r="Y15" s="367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353">
        <v>1</v>
      </c>
    </row>
    <row r="17" spans="1:29" ht="128.25">
      <c r="A17" s="379"/>
      <c r="B17" s="402" t="s">
        <v>1259</v>
      </c>
      <c r="C17" s="1900" t="str">
        <f>估价对象房地状况!C6</f>
        <v>估价对象周边有75路、126路、675路、682路、991路等多条公交线路，距地铁6号线（青年路站）约400米，综合评价交通便捷度较好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353">
        <v>1</v>
      </c>
    </row>
    <row r="19" spans="1:29" ht="42.75">
      <c r="A19" s="379"/>
      <c r="B19" s="402" t="s">
        <v>1778</v>
      </c>
      <c r="C19" s="1900" t="str">
        <f>估价对象房地状况!C7</f>
        <v>估价对象所在区域公共配套设施齐备情况较好</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353">
        <v>1</v>
      </c>
    </row>
    <row r="21" spans="1:29" ht="42.75">
      <c r="A21" s="379"/>
      <c r="B21" s="1131" t="s">
        <v>1779</v>
      </c>
      <c r="C21" s="1900" t="str">
        <f>估价对象房地状况!C8</f>
        <v>估价对象所在区域基础设施水平达七通</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86"/>
      <c r="Q22" s="1352"/>
      <c r="R22" s="705"/>
      <c r="S22" s="706"/>
      <c r="T22" s="705"/>
      <c r="U22" s="706"/>
      <c r="V22" s="705"/>
      <c r="W22" s="706"/>
      <c r="X22" s="1355"/>
      <c r="Y22" s="3679"/>
      <c r="Z22" s="1356"/>
      <c r="AA22" s="1353">
        <v>1</v>
      </c>
      <c r="AB22" s="1353">
        <v>1</v>
      </c>
      <c r="AC22" s="1353">
        <v>1</v>
      </c>
    </row>
    <row r="23" spans="1:29" ht="99.75">
      <c r="A23" s="379"/>
      <c r="B23" s="402" t="s">
        <v>1261</v>
      </c>
      <c r="C23" s="1955" t="str">
        <f>估价对象房地状况!C9</f>
        <v>区域自然环境：京城森林公园、红领巾公园、二道沟等；人文环境；四季体育馆；综合评价环境状况较好。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86"/>
      <c r="Q23" s="1352" t="str">
        <f>B23</f>
        <v>自然及人文环境</v>
      </c>
      <c r="R23" s="705" t="s">
        <v>14</v>
      </c>
      <c r="S23" s="706">
        <f>F23</f>
        <v>100</v>
      </c>
      <c r="T23" s="705" t="s">
        <v>14</v>
      </c>
      <c r="U23" s="706">
        <f>H23</f>
        <v>100</v>
      </c>
      <c r="V23" s="705" t="s">
        <v>14</v>
      </c>
      <c r="W23" s="706">
        <f>J23</f>
        <v>100</v>
      </c>
      <c r="X23" s="1355"/>
      <c r="Y23" s="367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86"/>
      <c r="Q25" s="1352" t="str">
        <f t="shared" ref="Q25:Q46" si="11">B25</f>
        <v>临街状况</v>
      </c>
      <c r="R25" s="705" t="s">
        <v>14</v>
      </c>
      <c r="S25" s="706">
        <f>F25</f>
        <v>100</v>
      </c>
      <c r="T25" s="705" t="s">
        <v>14</v>
      </c>
      <c r="U25" s="706">
        <f>H25</f>
        <v>100</v>
      </c>
      <c r="V25" s="705" t="s">
        <v>14</v>
      </c>
      <c r="W25" s="706">
        <f>J25</f>
        <v>100</v>
      </c>
      <c r="X25" s="1355"/>
      <c r="Y25" s="367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86"/>
      <c r="Q26" s="1352" t="str">
        <f t="shared" si="11"/>
        <v>平面位置/可视性</v>
      </c>
      <c r="R26" s="705" t="s">
        <v>14</v>
      </c>
      <c r="S26" s="706">
        <f>F26</f>
        <v>100</v>
      </c>
      <c r="T26" s="705" t="s">
        <v>14</v>
      </c>
      <c r="U26" s="706">
        <f>H26</f>
        <v>100</v>
      </c>
      <c r="V26" s="705" t="s">
        <v>14</v>
      </c>
      <c r="W26" s="706">
        <f>J26</f>
        <v>100</v>
      </c>
      <c r="X26" s="1355"/>
      <c r="Y26" s="367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86"/>
      <c r="Q27" s="1343" t="str">
        <f t="shared" si="11"/>
        <v>人流量</v>
      </c>
      <c r="R27" s="701" t="s">
        <v>14</v>
      </c>
      <c r="S27" s="702">
        <f>F27</f>
        <v>100</v>
      </c>
      <c r="T27" s="701" t="s">
        <v>14</v>
      </c>
      <c r="U27" s="702">
        <f>H27</f>
        <v>100</v>
      </c>
      <c r="V27" s="701" t="s">
        <v>14</v>
      </c>
      <c r="W27" s="702">
        <f>J27</f>
        <v>100</v>
      </c>
      <c r="X27" s="703"/>
      <c r="Y27" s="367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8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7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86"/>
      <c r="Q29" s="1352">
        <f t="shared" si="11"/>
        <v>111</v>
      </c>
      <c r="R29" s="705" t="s">
        <v>14</v>
      </c>
      <c r="S29" s="706">
        <f t="shared" si="12"/>
        <v>100</v>
      </c>
      <c r="T29" s="705" t="s">
        <v>14</v>
      </c>
      <c r="U29" s="706">
        <f t="shared" si="13"/>
        <v>100</v>
      </c>
      <c r="V29" s="705" t="s">
        <v>14</v>
      </c>
      <c r="W29" s="706">
        <f t="shared" si="14"/>
        <v>100</v>
      </c>
      <c r="X29" s="1355"/>
      <c r="Y29" s="367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80" t="s">
        <v>1696</v>
      </c>
      <c r="Q32" s="1352" t="str">
        <f t="shared" si="11"/>
        <v>商业类型</v>
      </c>
      <c r="R32" s="705" t="s">
        <v>14</v>
      </c>
      <c r="S32" s="706">
        <f t="shared" si="12"/>
        <v>100</v>
      </c>
      <c r="T32" s="705" t="s">
        <v>14</v>
      </c>
      <c r="U32" s="706">
        <f t="shared" si="13"/>
        <v>100</v>
      </c>
      <c r="V32" s="705" t="s">
        <v>14</v>
      </c>
      <c r="W32" s="706">
        <f t="shared" si="14"/>
        <v>100</v>
      </c>
      <c r="X32" s="1355"/>
      <c r="Y32" s="368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81"/>
      <c r="Q33" s="707" t="str">
        <f t="shared" si="11"/>
        <v>项目建筑规模</v>
      </c>
      <c r="R33" s="708" t="s">
        <v>14</v>
      </c>
      <c r="S33" s="709" t="e">
        <f t="shared" si="12"/>
        <v>#N/A</v>
      </c>
      <c r="T33" s="708" t="s">
        <v>14</v>
      </c>
      <c r="U33" s="709" t="e">
        <f t="shared" si="13"/>
        <v>#N/A</v>
      </c>
      <c r="V33" s="708" t="s">
        <v>14</v>
      </c>
      <c r="W33" s="709" t="e">
        <f t="shared" si="14"/>
        <v>#N/A</v>
      </c>
      <c r="X33" s="710"/>
      <c r="Y33" s="368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81"/>
      <c r="Q34" s="1352" t="str">
        <f t="shared" si="11"/>
        <v>建筑结构</v>
      </c>
      <c r="R34" s="705" t="s">
        <v>14</v>
      </c>
      <c r="S34" s="706">
        <f t="shared" si="12"/>
        <v>100</v>
      </c>
      <c r="T34" s="705" t="s">
        <v>14</v>
      </c>
      <c r="U34" s="706">
        <f t="shared" si="13"/>
        <v>100</v>
      </c>
      <c r="V34" s="705" t="s">
        <v>14</v>
      </c>
      <c r="W34" s="706">
        <f t="shared" si="14"/>
        <v>100</v>
      </c>
      <c r="X34" s="1355"/>
      <c r="Y34" s="368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81"/>
      <c r="Q35" s="1352" t="str">
        <f t="shared" si="11"/>
        <v>公共部分装修</v>
      </c>
      <c r="R35" s="705" t="s">
        <v>14</v>
      </c>
      <c r="S35" s="706">
        <f t="shared" si="12"/>
        <v>100</v>
      </c>
      <c r="T35" s="705" t="s">
        <v>14</v>
      </c>
      <c r="U35" s="706">
        <f t="shared" si="13"/>
        <v>100</v>
      </c>
      <c r="V35" s="705" t="s">
        <v>14</v>
      </c>
      <c r="W35" s="706">
        <f t="shared" si="14"/>
        <v>100</v>
      </c>
      <c r="X35" s="1355"/>
      <c r="Y35" s="368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81"/>
      <c r="Q36" s="1352" t="str">
        <f t="shared" si="11"/>
        <v>成新度</v>
      </c>
      <c r="R36" s="705" t="s">
        <v>14</v>
      </c>
      <c r="S36" s="706" t="e">
        <f t="shared" si="12"/>
        <v>#N/A</v>
      </c>
      <c r="T36" s="705" t="s">
        <v>14</v>
      </c>
      <c r="U36" s="706" t="e">
        <f t="shared" si="13"/>
        <v>#N/A</v>
      </c>
      <c r="V36" s="705" t="s">
        <v>14</v>
      </c>
      <c r="W36" s="706" t="e">
        <f t="shared" si="14"/>
        <v>#N/A</v>
      </c>
      <c r="X36" s="1355"/>
      <c r="Y36" s="368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81"/>
      <c r="Q37" s="1343" t="str">
        <f t="shared" si="11"/>
        <v>市政基础设施</v>
      </c>
      <c r="R37" s="701" t="s">
        <v>14</v>
      </c>
      <c r="S37" s="702">
        <f t="shared" si="12"/>
        <v>100</v>
      </c>
      <c r="T37" s="701" t="s">
        <v>14</v>
      </c>
      <c r="U37" s="702">
        <f t="shared" si="13"/>
        <v>100</v>
      </c>
      <c r="V37" s="701" t="s">
        <v>14</v>
      </c>
      <c r="W37" s="702">
        <f t="shared" si="14"/>
        <v>100</v>
      </c>
      <c r="X37" s="703"/>
      <c r="Y37" s="368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81" t="s">
        <v>1696</v>
      </c>
      <c r="Q38" s="1352" t="str">
        <f t="shared" si="11"/>
        <v>业态</v>
      </c>
      <c r="R38" s="705" t="s">
        <v>14</v>
      </c>
      <c r="S38" s="706">
        <f t="shared" si="12"/>
        <v>100</v>
      </c>
      <c r="T38" s="705" t="s">
        <v>14</v>
      </c>
      <c r="U38" s="706">
        <f t="shared" si="13"/>
        <v>100</v>
      </c>
      <c r="V38" s="705" t="s">
        <v>14</v>
      </c>
      <c r="W38" s="706">
        <f t="shared" si="14"/>
        <v>100</v>
      </c>
      <c r="X38" s="1355"/>
      <c r="Y38" s="368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81"/>
      <c r="Q39" s="1352" t="str">
        <f t="shared" si="11"/>
        <v>层高</v>
      </c>
      <c r="R39" s="705" t="s">
        <v>14</v>
      </c>
      <c r="S39" s="706">
        <f t="shared" si="12"/>
        <v>100</v>
      </c>
      <c r="T39" s="705" t="s">
        <v>14</v>
      </c>
      <c r="U39" s="706">
        <f t="shared" si="13"/>
        <v>100</v>
      </c>
      <c r="V39" s="705" t="s">
        <v>14</v>
      </c>
      <c r="W39" s="706">
        <f t="shared" si="14"/>
        <v>100</v>
      </c>
      <c r="X39" s="1355"/>
      <c r="Y39" s="368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81"/>
      <c r="Q40" s="1352" t="str">
        <f t="shared" si="11"/>
        <v>单套建筑面积</v>
      </c>
      <c r="R40" s="705" t="s">
        <v>14</v>
      </c>
      <c r="S40" s="706">
        <f t="shared" si="12"/>
        <v>100</v>
      </c>
      <c r="T40" s="705" t="s">
        <v>14</v>
      </c>
      <c r="U40" s="706">
        <f t="shared" si="13"/>
        <v>100</v>
      </c>
      <c r="V40" s="705" t="s">
        <v>14</v>
      </c>
      <c r="W40" s="706">
        <f t="shared" si="14"/>
        <v>100</v>
      </c>
      <c r="X40" s="1355"/>
      <c r="Y40" s="368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81"/>
      <c r="Q41" s="707" t="str">
        <f t="shared" si="11"/>
        <v>进深比</v>
      </c>
      <c r="R41" s="708" t="s">
        <v>14</v>
      </c>
      <c r="S41" s="709">
        <f t="shared" si="12"/>
        <v>100</v>
      </c>
      <c r="T41" s="708" t="s">
        <v>14</v>
      </c>
      <c r="U41" s="709">
        <f t="shared" si="13"/>
        <v>100</v>
      </c>
      <c r="V41" s="708" t="s">
        <v>14</v>
      </c>
      <c r="W41" s="709">
        <f t="shared" si="14"/>
        <v>100</v>
      </c>
      <c r="X41" s="710"/>
      <c r="Y41" s="368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81"/>
      <c r="Q42" s="1352" t="str">
        <f t="shared" si="11"/>
        <v>内部装修</v>
      </c>
      <c r="R42" s="705" t="s">
        <v>14</v>
      </c>
      <c r="S42" s="706">
        <f t="shared" si="12"/>
        <v>100</v>
      </c>
      <c r="T42" s="705" t="s">
        <v>14</v>
      </c>
      <c r="U42" s="706">
        <f t="shared" si="13"/>
        <v>100</v>
      </c>
      <c r="V42" s="705" t="s">
        <v>14</v>
      </c>
      <c r="W42" s="706">
        <f t="shared" si="14"/>
        <v>100</v>
      </c>
      <c r="X42" s="1355"/>
      <c r="Y42" s="368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81"/>
      <c r="Q43" s="1352" t="str">
        <f t="shared" si="11"/>
        <v>内部装修维护情况</v>
      </c>
      <c r="R43" s="705" t="s">
        <v>14</v>
      </c>
      <c r="S43" s="706">
        <f t="shared" si="12"/>
        <v>100</v>
      </c>
      <c r="T43" s="705" t="s">
        <v>14</v>
      </c>
      <c r="U43" s="706">
        <f t="shared" si="13"/>
        <v>100</v>
      </c>
      <c r="V43" s="705" t="s">
        <v>14</v>
      </c>
      <c r="W43" s="706">
        <f t="shared" si="14"/>
        <v>100</v>
      </c>
      <c r="X43" s="1355"/>
      <c r="Y43" s="368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81"/>
      <c r="Q44" s="1343">
        <f t="shared" si="11"/>
        <v>111</v>
      </c>
      <c r="R44" s="701" t="s">
        <v>14</v>
      </c>
      <c r="S44" s="702">
        <f t="shared" si="12"/>
        <v>100</v>
      </c>
      <c r="T44" s="701" t="s">
        <v>14</v>
      </c>
      <c r="U44" s="702">
        <f t="shared" si="13"/>
        <v>100</v>
      </c>
      <c r="V44" s="701" t="s">
        <v>14</v>
      </c>
      <c r="W44" s="702">
        <f t="shared" si="14"/>
        <v>100</v>
      </c>
      <c r="X44" s="703"/>
      <c r="Y44" s="368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81"/>
      <c r="Q45" s="1352">
        <f t="shared" si="11"/>
        <v>111</v>
      </c>
      <c r="R45" s="705" t="s">
        <v>14</v>
      </c>
      <c r="S45" s="706">
        <f t="shared" si="12"/>
        <v>100</v>
      </c>
      <c r="T45" s="705" t="s">
        <v>14</v>
      </c>
      <c r="U45" s="706">
        <f t="shared" si="13"/>
        <v>100</v>
      </c>
      <c r="V45" s="705" t="s">
        <v>14</v>
      </c>
      <c r="W45" s="706">
        <f t="shared" si="14"/>
        <v>100</v>
      </c>
      <c r="X45" s="1355"/>
      <c r="Y45" s="368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82"/>
      <c r="Q46" s="1352">
        <f t="shared" si="11"/>
        <v>111</v>
      </c>
      <c r="R46" s="705" t="s">
        <v>14</v>
      </c>
      <c r="S46" s="706">
        <f t="shared" si="12"/>
        <v>100</v>
      </c>
      <c r="T46" s="705" t="s">
        <v>14</v>
      </c>
      <c r="U46" s="706">
        <f t="shared" si="13"/>
        <v>100</v>
      </c>
      <c r="V46" s="705" t="s">
        <v>14</v>
      </c>
      <c r="W46" s="706">
        <f t="shared" si="14"/>
        <v>100</v>
      </c>
      <c r="X46" s="1355"/>
      <c r="Y46" s="368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76" t="str">
        <f>A47</f>
        <v>成交单价（元/平方米）</v>
      </c>
      <c r="Q47" s="3676"/>
      <c r="R47" s="3707">
        <f>E47</f>
        <v>0</v>
      </c>
      <c r="S47" s="3707"/>
      <c r="T47" s="3707">
        <f>G47</f>
        <v>0</v>
      </c>
      <c r="U47" s="3707"/>
      <c r="V47" s="3707">
        <f>I47</f>
        <v>0</v>
      </c>
      <c r="W47" s="370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76" t="str">
        <f>A48</f>
        <v>比较价值（元/平方米）</v>
      </c>
      <c r="Q48" s="3676"/>
      <c r="R48" s="3677" t="e">
        <f>IF(F1="售价",ROUND(PRODUCT(R47,AA7:AA46),0),ROUND(PRODUCT(R47,AA7:AA46),1))</f>
        <v>#DIV/0!</v>
      </c>
      <c r="S48" s="3677"/>
      <c r="T48" s="3677" t="e">
        <f>IF(F1="售价",ROUND(PRODUCT(T47,AB7:AB46),0),ROUND(PRODUCT(T47,AB7:AB46),1))</f>
        <v>#DIV/0!</v>
      </c>
      <c r="U48" s="3677"/>
      <c r="V48" s="3677" t="e">
        <f>IF(F1="售价",ROUND(PRODUCT(V47,AC7:AC46),0),ROUND(PRODUCT(V47,AC7:AC46),1))</f>
        <v>#DIV/0!</v>
      </c>
      <c r="W48" s="367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73" t="str">
        <f>A49</f>
        <v>估价对象XX用房的比较价值（楼面单价，元/平方米）</v>
      </c>
      <c r="Q49" s="3674"/>
      <c r="R49" s="3675" t="e">
        <f>IF(F1="售价",ROUND(IF(D48="简单平均",AVERAGE(R48:V48),R48*F48+T48*H48+V48*J48),0),ROUND(IF(D48="简单平均",AVERAGE(R48:V48),R48*F48+T48*H48+V48*J48),1))</f>
        <v>#DIV/0!</v>
      </c>
      <c r="S49" s="3675"/>
      <c r="T49" s="3675"/>
      <c r="U49" s="3675"/>
      <c r="V49" s="3675"/>
      <c r="W49" s="367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C43 E43 G43 I43" xr:uid="{00000000-0002-0000-1B00-000001000000}">
      <formula1>内部装修维护情况</formula1>
    </dataValidation>
    <dataValidation type="list" allowBlank="1" showInputMessage="1" showErrorMessage="1" sqref="E20 I20 G20 C20" xr:uid="{00000000-0002-0000-1B00-000002000000}">
      <formula1>公共配套设施</formula1>
    </dataValidation>
    <dataValidation type="list" allowBlank="1" showInputMessage="1" showErrorMessage="1" sqref="E18 G18 I18 C18" xr:uid="{00000000-0002-0000-1B00-000003000000}">
      <formula1>交通便捷度</formula1>
    </dataValidation>
    <dataValidation type="list" allowBlank="1" showInputMessage="1" showErrorMessage="1" sqref="E24 G24 I24 C24" xr:uid="{00000000-0002-0000-1B00-000004000000}">
      <formula1>环境</formula1>
    </dataValidation>
    <dataValidation type="list" allowBlank="1" showInputMessage="1" showErrorMessage="1" sqref="C25 E25 G25 I25" xr:uid="{00000000-0002-0000-1B00-000005000000}">
      <formula1>商业临街状况</formula1>
    </dataValidation>
    <dataValidation type="list" allowBlank="1" showInputMessage="1" showErrorMessage="1" sqref="C27 E27 G27 I27" xr:uid="{00000000-0002-0000-1B00-000006000000}">
      <formula1>商业人流量</formula1>
    </dataValidation>
    <dataValidation type="list" allowBlank="1" showInputMessage="1" showErrorMessage="1" sqref="C28 E28 G28 I28" xr:uid="{00000000-0002-0000-1B00-000007000000}">
      <formula1>商业楼层</formula1>
    </dataValidation>
    <dataValidation type="list" allowBlank="1" showInputMessage="1" showErrorMessage="1" sqref="C32 E32 G32 I32" xr:uid="{00000000-0002-0000-1B00-000008000000}">
      <formula1>商业类型</formula1>
    </dataValidation>
    <dataValidation type="list" allowBlank="1" showInputMessage="1" showErrorMessage="1" sqref="C34 E34 G34 I34" xr:uid="{00000000-0002-0000-1B00-000009000000}">
      <formula1>商业建筑结构</formula1>
    </dataValidation>
    <dataValidation type="list" allowBlank="1" showInputMessage="1" showErrorMessage="1" sqref="C35 E35 G35 I35" xr:uid="{00000000-0002-0000-1B00-00000A000000}">
      <formula1>商业公共部分装修</formula1>
    </dataValidation>
    <dataValidation type="list" allowBlank="1" showInputMessage="1" showErrorMessage="1" sqref="C37 E37 G37 I37" xr:uid="{00000000-0002-0000-1B00-00000B000000}">
      <formula1>商业基础设施水平</formula1>
    </dataValidation>
    <dataValidation type="list" allowBlank="1" showInputMessage="1" showErrorMessage="1" sqref="C41 E41 G41 I41" xr:uid="{00000000-0002-0000-1B00-00000C000000}">
      <formula1>商业进深比</formula1>
    </dataValidation>
    <dataValidation type="list" allowBlank="1" showInputMessage="1" showErrorMessage="1" sqref="C42 E42 G42 I42" xr:uid="{00000000-0002-0000-1B00-00000D000000}">
      <formula1>商业内部装修</formula1>
    </dataValidation>
    <dataValidation type="list" allowBlank="1" showInputMessage="1" showErrorMessage="1" sqref="E9 G9 I9" xr:uid="{00000000-0002-0000-1B00-00000E000000}">
      <formula1>商业用途</formula1>
    </dataValidation>
    <dataValidation type="list" allowBlank="1" showInputMessage="1" showErrorMessage="1" sqref="C38 E38 G38 I38" xr:uid="{00000000-0002-0000-1B00-00000F000000}">
      <formula1>商业业态</formula1>
    </dataValidation>
    <dataValidation type="list" allowBlank="1" showInputMessage="1" showErrorMessage="1" sqref="C39 E39 G39 I39" xr:uid="{00000000-0002-0000-1B00-000010000000}">
      <formula1>商业层高</formula1>
    </dataValidation>
    <dataValidation type="list" allowBlank="1" showInputMessage="1" showErrorMessage="1" sqref="C8 E8 G8 I8" xr:uid="{00000000-0002-0000-1B00-000011000000}">
      <formula1>商业交易情况</formula1>
    </dataValidation>
    <dataValidation type="list" allowBlank="1" showInputMessage="1" showErrorMessage="1" sqref="C16 E16 G16 I16" xr:uid="{00000000-0002-0000-1B00-000012000000}">
      <formula1>商业繁华度</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8"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162.94</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728" t="s">
        <v>1775</v>
      </c>
      <c r="Q4" s="3729"/>
      <c r="R4" s="3732" t="s">
        <v>1771</v>
      </c>
      <c r="S4" s="3733"/>
      <c r="T4" s="3732" t="s">
        <v>1772</v>
      </c>
      <c r="U4" s="3733"/>
      <c r="V4" s="3734" t="s">
        <v>1773</v>
      </c>
      <c r="W4" s="3734"/>
      <c r="X4" s="1958"/>
      <c r="Y4" s="3732" t="s">
        <v>1775</v>
      </c>
      <c r="Z4" s="3733"/>
      <c r="AA4" s="3736" t="s">
        <v>1771</v>
      </c>
      <c r="AB4" s="3736" t="s">
        <v>1772</v>
      </c>
      <c r="AC4" s="3725" t="s">
        <v>1773</v>
      </c>
    </row>
    <row r="5" spans="1:29" ht="15">
      <c r="A5" s="358"/>
      <c r="B5" s="359"/>
      <c r="C5" s="3719" t="s">
        <v>1673</v>
      </c>
      <c r="D5" s="3711"/>
      <c r="E5" s="3721" t="s">
        <v>1674</v>
      </c>
      <c r="F5" s="3718"/>
      <c r="G5" s="3719" t="s">
        <v>1675</v>
      </c>
      <c r="H5" s="3711"/>
      <c r="I5" s="3719" t="s">
        <v>1676</v>
      </c>
      <c r="J5" s="3711"/>
      <c r="K5" s="559"/>
      <c r="L5" s="2713"/>
      <c r="M5" s="2714"/>
      <c r="N5" s="2714"/>
      <c r="O5" s="2714"/>
      <c r="P5" s="3730"/>
      <c r="Q5" s="3698"/>
      <c r="R5" s="3703"/>
      <c r="S5" s="3704"/>
      <c r="T5" s="3703"/>
      <c r="U5" s="3704"/>
      <c r="V5" s="3707"/>
      <c r="W5" s="3707"/>
      <c r="X5" s="1355"/>
      <c r="Y5" s="3703"/>
      <c r="Z5" s="3704"/>
      <c r="AA5" s="3689"/>
      <c r="AB5" s="3689"/>
      <c r="AC5" s="3726"/>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731"/>
      <c r="Q6" s="3700"/>
      <c r="R6" s="3703"/>
      <c r="S6" s="3704"/>
      <c r="T6" s="3705"/>
      <c r="U6" s="3706"/>
      <c r="V6" s="3707"/>
      <c r="W6" s="3707"/>
      <c r="X6" s="1355"/>
      <c r="Y6" s="3705"/>
      <c r="Z6" s="3706"/>
      <c r="AA6" s="3690"/>
      <c r="AB6" s="3690"/>
      <c r="AC6" s="3727"/>
    </row>
    <row r="7" spans="1:29" s="108" customFormat="1" ht="15.75" thickBot="1">
      <c r="A7" s="362" t="s">
        <v>1679</v>
      </c>
      <c r="B7" s="363"/>
      <c r="C7" s="364">
        <f>'数据-取费表'!B2</f>
        <v>45153</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35"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35" t="s">
        <v>1683</v>
      </c>
      <c r="Q8" s="3713"/>
      <c r="R8" s="701" t="s">
        <v>14</v>
      </c>
      <c r="S8" s="702">
        <f t="shared" si="0"/>
        <v>100</v>
      </c>
      <c r="T8" s="701" t="s">
        <v>14</v>
      </c>
      <c r="U8" s="702">
        <f t="shared" si="1"/>
        <v>100</v>
      </c>
      <c r="V8" s="701" t="s">
        <v>14</v>
      </c>
      <c r="W8" s="702">
        <f t="shared" si="2"/>
        <v>100</v>
      </c>
      <c r="X8" s="703"/>
      <c r="Y8" s="3712" t="s">
        <v>1683</v>
      </c>
      <c r="Z8" s="371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87"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87"/>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87"/>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87"/>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87"/>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87"/>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85" t="s">
        <v>1691</v>
      </c>
      <c r="Q15" s="1352" t="str">
        <f t="shared" si="6"/>
        <v>办公集聚程度</v>
      </c>
      <c r="R15" s="705" t="s">
        <v>14</v>
      </c>
      <c r="S15" s="706">
        <f t="shared" si="0"/>
        <v>100</v>
      </c>
      <c r="T15" s="705" t="s">
        <v>14</v>
      </c>
      <c r="U15" s="706">
        <f t="shared" si="1"/>
        <v>100</v>
      </c>
      <c r="V15" s="705" t="s">
        <v>14</v>
      </c>
      <c r="W15" s="706">
        <f t="shared" si="2"/>
        <v>100</v>
      </c>
      <c r="X15" s="1355"/>
      <c r="Y15" s="367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86"/>
      <c r="Q16" s="1352"/>
      <c r="R16" s="705"/>
      <c r="S16" s="706"/>
      <c r="T16" s="705"/>
      <c r="U16" s="706"/>
      <c r="V16" s="705"/>
      <c r="W16" s="706"/>
      <c r="X16" s="1355"/>
      <c r="Y16" s="3679"/>
      <c r="Z16" s="1356"/>
      <c r="AA16" s="1353">
        <v>1</v>
      </c>
      <c r="AB16" s="1353">
        <v>1</v>
      </c>
      <c r="AC16" s="1962">
        <v>1</v>
      </c>
    </row>
    <row r="17" spans="1:29" ht="114">
      <c r="A17" s="379"/>
      <c r="B17" s="579" t="s">
        <v>1259</v>
      </c>
      <c r="C17" s="1963" t="str">
        <f>估价对象房地状况!C6</f>
        <v>估价对象周边有75路、126路、675路、682路、991路等多条公交线路，距地铁6号线（青年路站）约400米，综合评价交通便捷度较好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86"/>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86"/>
      <c r="Q18" s="1352"/>
      <c r="R18" s="705"/>
      <c r="S18" s="706"/>
      <c r="T18" s="705"/>
      <c r="U18" s="706"/>
      <c r="V18" s="705"/>
      <c r="W18" s="706"/>
      <c r="X18" s="1355"/>
      <c r="Y18" s="3679"/>
      <c r="Z18" s="1356"/>
      <c r="AA18" s="1353">
        <v>1</v>
      </c>
      <c r="AB18" s="1353">
        <v>1</v>
      </c>
      <c r="AC18" s="1962">
        <v>1</v>
      </c>
    </row>
    <row r="19" spans="1:29" ht="42.75">
      <c r="A19" s="379"/>
      <c r="B19" s="579" t="s">
        <v>1812</v>
      </c>
      <c r="C19" s="1963" t="str">
        <f>估价对象房地状况!C7</f>
        <v>估价对象所在区域公共配套设施齐备情况较好</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86"/>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86"/>
      <c r="Q20" s="1352"/>
      <c r="R20" s="705"/>
      <c r="S20" s="706"/>
      <c r="T20" s="705"/>
      <c r="U20" s="706"/>
      <c r="V20" s="705"/>
      <c r="W20" s="706"/>
      <c r="X20" s="1355"/>
      <c r="Y20" s="3679"/>
      <c r="Z20" s="1356"/>
      <c r="AA20" s="1353">
        <v>1</v>
      </c>
      <c r="AB20" s="1353">
        <v>1</v>
      </c>
      <c r="AC20" s="1962">
        <v>1</v>
      </c>
    </row>
    <row r="21" spans="1:29" ht="42.75">
      <c r="A21" s="379"/>
      <c r="B21" s="581" t="s">
        <v>1813</v>
      </c>
      <c r="C21" s="1963" t="str">
        <f>估价对象房地状况!C8</f>
        <v>估价对象所在区域基础设施水平达七通</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86"/>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86"/>
      <c r="Q22" s="1352"/>
      <c r="R22" s="705"/>
      <c r="S22" s="706"/>
      <c r="T22" s="705"/>
      <c r="U22" s="706"/>
      <c r="V22" s="705"/>
      <c r="W22" s="706"/>
      <c r="X22" s="1355"/>
      <c r="Y22" s="3679"/>
      <c r="Z22" s="1356"/>
      <c r="AA22" s="1353">
        <v>1</v>
      </c>
      <c r="AB22" s="1353">
        <v>1</v>
      </c>
      <c r="AC22" s="1962">
        <v>1</v>
      </c>
    </row>
    <row r="23" spans="1:29" ht="85.5">
      <c r="A23" s="379"/>
      <c r="B23" s="579" t="s">
        <v>1814</v>
      </c>
      <c r="C23" s="1963" t="str">
        <f>估价对象房地状况!C9</f>
        <v>区域自然环境：京城森林公园、红领巾公园、二道沟等；人文环境；四季体育馆；综合评价环境状况较好。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86"/>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86"/>
      <c r="Q24" s="1352"/>
      <c r="R24" s="705"/>
      <c r="S24" s="706"/>
      <c r="T24" s="705"/>
      <c r="U24" s="706"/>
      <c r="V24" s="705"/>
      <c r="W24" s="706"/>
      <c r="X24" s="1355"/>
      <c r="Y24" s="367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86"/>
      <c r="Q25" s="1352" t="str">
        <f>B25</f>
        <v>毗邻道路的类型与等级</v>
      </c>
      <c r="R25" s="705" t="s">
        <v>14</v>
      </c>
      <c r="S25" s="706">
        <f>F25</f>
        <v>100</v>
      </c>
      <c r="T25" s="705" t="s">
        <v>14</v>
      </c>
      <c r="U25" s="706">
        <f>H25</f>
        <v>100</v>
      </c>
      <c r="V25" s="705" t="s">
        <v>14</v>
      </c>
      <c r="W25" s="706">
        <f>J25</f>
        <v>100</v>
      </c>
      <c r="X25" s="1355"/>
      <c r="Y25" s="367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86"/>
      <c r="Q26" s="1352"/>
      <c r="R26" s="705"/>
      <c r="S26" s="706"/>
      <c r="T26" s="705"/>
      <c r="U26" s="706"/>
      <c r="V26" s="705"/>
      <c r="W26" s="706"/>
      <c r="X26" s="1355"/>
      <c r="Y26" s="367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86"/>
      <c r="Q27" s="1352" t="str">
        <f t="shared" ref="Q27:Q47" si="11">B27</f>
        <v>楼层</v>
      </c>
      <c r="R27" s="705" t="s">
        <v>14</v>
      </c>
      <c r="S27" s="706">
        <f>F27</f>
        <v>100</v>
      </c>
      <c r="T27" s="705" t="s">
        <v>14</v>
      </c>
      <c r="U27" s="706">
        <f>H27</f>
        <v>100</v>
      </c>
      <c r="V27" s="705" t="s">
        <v>14</v>
      </c>
      <c r="W27" s="706">
        <f>J27</f>
        <v>100</v>
      </c>
      <c r="X27" s="1355"/>
      <c r="Y27" s="367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86"/>
      <c r="Q28" s="1343" t="str">
        <f t="shared" si="11"/>
        <v>朝向</v>
      </c>
      <c r="R28" s="701" t="s">
        <v>14</v>
      </c>
      <c r="S28" s="702">
        <f>F28</f>
        <v>100</v>
      </c>
      <c r="T28" s="701" t="s">
        <v>14</v>
      </c>
      <c r="U28" s="702">
        <f>H28</f>
        <v>100</v>
      </c>
      <c r="V28" s="701" t="s">
        <v>14</v>
      </c>
      <c r="W28" s="702">
        <f>J28</f>
        <v>100</v>
      </c>
      <c r="X28" s="703"/>
      <c r="Y28" s="367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86"/>
      <c r="Q29" s="1352">
        <f t="shared" si="11"/>
        <v>111</v>
      </c>
      <c r="R29" s="705" t="s">
        <v>14</v>
      </c>
      <c r="S29" s="706">
        <f t="shared" ref="S29:S47" si="12">F29</f>
        <v>100</v>
      </c>
      <c r="T29" s="705" t="s">
        <v>14</v>
      </c>
      <c r="U29" s="706">
        <f t="shared" ref="U29:U47" si="13">H29</f>
        <v>100</v>
      </c>
      <c r="V29" s="705" t="s">
        <v>14</v>
      </c>
      <c r="W29" s="706">
        <f t="shared" ref="W29:W47" si="14">J29</f>
        <v>100</v>
      </c>
      <c r="X29" s="1355"/>
      <c r="Y29" s="367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86"/>
      <c r="Q30" s="1352">
        <f t="shared" si="11"/>
        <v>111</v>
      </c>
      <c r="R30" s="705" t="s">
        <v>14</v>
      </c>
      <c r="S30" s="706">
        <f t="shared" si="12"/>
        <v>100</v>
      </c>
      <c r="T30" s="705" t="s">
        <v>14</v>
      </c>
      <c r="U30" s="706">
        <f t="shared" si="13"/>
        <v>100</v>
      </c>
      <c r="V30" s="705" t="s">
        <v>14</v>
      </c>
      <c r="W30" s="706">
        <f t="shared" si="14"/>
        <v>100</v>
      </c>
      <c r="X30" s="1355"/>
      <c r="Y30" s="367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86"/>
      <c r="Q31" s="1352">
        <f t="shared" si="11"/>
        <v>111</v>
      </c>
      <c r="R31" s="705" t="s">
        <v>14</v>
      </c>
      <c r="S31" s="706">
        <f t="shared" si="12"/>
        <v>100</v>
      </c>
      <c r="T31" s="705" t="s">
        <v>14</v>
      </c>
      <c r="U31" s="706">
        <f t="shared" si="13"/>
        <v>100</v>
      </c>
      <c r="V31" s="705" t="s">
        <v>14</v>
      </c>
      <c r="W31" s="706">
        <f t="shared" si="14"/>
        <v>100</v>
      </c>
      <c r="X31" s="1355"/>
      <c r="Y31" s="367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86"/>
      <c r="Q32" s="1352">
        <f t="shared" si="11"/>
        <v>111</v>
      </c>
      <c r="R32" s="705" t="s">
        <v>14</v>
      </c>
      <c r="S32" s="706">
        <f t="shared" si="12"/>
        <v>100</v>
      </c>
      <c r="T32" s="705" t="s">
        <v>14</v>
      </c>
      <c r="U32" s="706">
        <f t="shared" si="13"/>
        <v>100</v>
      </c>
      <c r="V32" s="705" t="s">
        <v>14</v>
      </c>
      <c r="W32" s="706">
        <f t="shared" si="14"/>
        <v>100</v>
      </c>
      <c r="X32" s="1355"/>
      <c r="Y32" s="367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80" t="s">
        <v>1696</v>
      </c>
      <c r="Q33" s="1352" t="str">
        <f t="shared" si="11"/>
        <v>建筑类型</v>
      </c>
      <c r="R33" s="705" t="s">
        <v>14</v>
      </c>
      <c r="S33" s="706">
        <f t="shared" si="12"/>
        <v>100</v>
      </c>
      <c r="T33" s="705" t="s">
        <v>14</v>
      </c>
      <c r="U33" s="706">
        <f t="shared" si="13"/>
        <v>100</v>
      </c>
      <c r="V33" s="705" t="s">
        <v>14</v>
      </c>
      <c r="W33" s="706">
        <f t="shared" si="14"/>
        <v>100</v>
      </c>
      <c r="X33" s="1355"/>
      <c r="Y33" s="368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81"/>
      <c r="Q34" s="707" t="str">
        <f t="shared" si="11"/>
        <v>项目建筑规模</v>
      </c>
      <c r="R34" s="708" t="s">
        <v>14</v>
      </c>
      <c r="S34" s="709" t="e">
        <f t="shared" si="12"/>
        <v>#N/A</v>
      </c>
      <c r="T34" s="708" t="s">
        <v>14</v>
      </c>
      <c r="U34" s="709" t="e">
        <f t="shared" si="13"/>
        <v>#N/A</v>
      </c>
      <c r="V34" s="708" t="s">
        <v>14</v>
      </c>
      <c r="W34" s="709" t="e">
        <f t="shared" si="14"/>
        <v>#N/A</v>
      </c>
      <c r="X34" s="710"/>
      <c r="Y34" s="368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81"/>
      <c r="Q35" s="1352" t="str">
        <f t="shared" si="11"/>
        <v>建筑结构</v>
      </c>
      <c r="R35" s="705" t="s">
        <v>14</v>
      </c>
      <c r="S35" s="706">
        <f t="shared" si="12"/>
        <v>100</v>
      </c>
      <c r="T35" s="705" t="s">
        <v>14</v>
      </c>
      <c r="U35" s="706">
        <f t="shared" si="13"/>
        <v>100</v>
      </c>
      <c r="V35" s="705" t="s">
        <v>14</v>
      </c>
      <c r="W35" s="706">
        <f t="shared" si="14"/>
        <v>100</v>
      </c>
      <c r="X35" s="1355"/>
      <c r="Y35" s="368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81"/>
      <c r="Q36" s="1352" t="str">
        <f t="shared" si="11"/>
        <v>公共部分装修</v>
      </c>
      <c r="R36" s="705" t="s">
        <v>14</v>
      </c>
      <c r="S36" s="706">
        <f t="shared" si="12"/>
        <v>100</v>
      </c>
      <c r="T36" s="705" t="s">
        <v>14</v>
      </c>
      <c r="U36" s="706">
        <f t="shared" si="13"/>
        <v>100</v>
      </c>
      <c r="V36" s="705" t="s">
        <v>14</v>
      </c>
      <c r="W36" s="706">
        <f t="shared" si="14"/>
        <v>100</v>
      </c>
      <c r="X36" s="1355"/>
      <c r="Y36" s="368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81"/>
      <c r="Q37" s="1352" t="str">
        <f t="shared" si="11"/>
        <v>成新度</v>
      </c>
      <c r="R37" s="705" t="s">
        <v>14</v>
      </c>
      <c r="S37" s="706" t="e">
        <f t="shared" si="12"/>
        <v>#N/A</v>
      </c>
      <c r="T37" s="705" t="s">
        <v>14</v>
      </c>
      <c r="U37" s="706" t="e">
        <f t="shared" si="13"/>
        <v>#N/A</v>
      </c>
      <c r="V37" s="705" t="s">
        <v>14</v>
      </c>
      <c r="W37" s="706" t="e">
        <f t="shared" si="14"/>
        <v>#N/A</v>
      </c>
      <c r="X37" s="1355"/>
      <c r="Y37" s="368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81"/>
      <c r="Q38" s="1343" t="str">
        <f t="shared" si="11"/>
        <v>写字楼等级</v>
      </c>
      <c r="R38" s="701" t="s">
        <v>14</v>
      </c>
      <c r="S38" s="702">
        <f t="shared" si="12"/>
        <v>100</v>
      </c>
      <c r="T38" s="701" t="s">
        <v>14</v>
      </c>
      <c r="U38" s="702">
        <f t="shared" si="13"/>
        <v>100</v>
      </c>
      <c r="V38" s="701" t="s">
        <v>14</v>
      </c>
      <c r="W38" s="702">
        <f t="shared" si="14"/>
        <v>100</v>
      </c>
      <c r="X38" s="703"/>
      <c r="Y38" s="368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81" t="s">
        <v>1696</v>
      </c>
      <c r="Q39" s="1352" t="str">
        <f t="shared" si="11"/>
        <v>物业管理</v>
      </c>
      <c r="R39" s="705" t="s">
        <v>14</v>
      </c>
      <c r="S39" s="706">
        <f t="shared" si="12"/>
        <v>100</v>
      </c>
      <c r="T39" s="705" t="s">
        <v>14</v>
      </c>
      <c r="U39" s="706">
        <f t="shared" si="13"/>
        <v>100</v>
      </c>
      <c r="V39" s="705" t="s">
        <v>14</v>
      </c>
      <c r="W39" s="706">
        <f t="shared" si="14"/>
        <v>100</v>
      </c>
      <c r="X39" s="1355"/>
      <c r="Y39" s="368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81"/>
      <c r="Q40" s="1352" t="str">
        <f t="shared" si="11"/>
        <v>市政基础设施</v>
      </c>
      <c r="R40" s="705" t="s">
        <v>14</v>
      </c>
      <c r="S40" s="706">
        <f t="shared" si="12"/>
        <v>100</v>
      </c>
      <c r="T40" s="705" t="s">
        <v>14</v>
      </c>
      <c r="U40" s="706">
        <f t="shared" si="13"/>
        <v>100</v>
      </c>
      <c r="V40" s="705" t="s">
        <v>14</v>
      </c>
      <c r="W40" s="706">
        <f t="shared" si="14"/>
        <v>100</v>
      </c>
      <c r="X40" s="1355"/>
      <c r="Y40" s="368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81"/>
      <c r="Q41" s="1352" t="str">
        <f t="shared" si="11"/>
        <v>层高</v>
      </c>
      <c r="R41" s="705" t="s">
        <v>14</v>
      </c>
      <c r="S41" s="706">
        <f t="shared" si="12"/>
        <v>100</v>
      </c>
      <c r="T41" s="705" t="s">
        <v>14</v>
      </c>
      <c r="U41" s="706">
        <f t="shared" si="13"/>
        <v>100</v>
      </c>
      <c r="V41" s="705" t="s">
        <v>14</v>
      </c>
      <c r="W41" s="706">
        <f t="shared" si="14"/>
        <v>100</v>
      </c>
      <c r="X41" s="1355"/>
      <c r="Y41" s="368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81"/>
      <c r="Q42" s="707" t="str">
        <f t="shared" si="11"/>
        <v>单套建筑面积</v>
      </c>
      <c r="R42" s="708" t="s">
        <v>14</v>
      </c>
      <c r="S42" s="709">
        <f t="shared" si="12"/>
        <v>100</v>
      </c>
      <c r="T42" s="708" t="s">
        <v>14</v>
      </c>
      <c r="U42" s="709">
        <f t="shared" si="13"/>
        <v>100</v>
      </c>
      <c r="V42" s="708" t="s">
        <v>14</v>
      </c>
      <c r="W42" s="709">
        <f t="shared" si="14"/>
        <v>100</v>
      </c>
      <c r="X42" s="710"/>
      <c r="Y42" s="368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81"/>
      <c r="Q43" s="1352" t="str">
        <f t="shared" si="11"/>
        <v>内部装修</v>
      </c>
      <c r="R43" s="705" t="s">
        <v>14</v>
      </c>
      <c r="S43" s="706">
        <f t="shared" si="12"/>
        <v>100</v>
      </c>
      <c r="T43" s="705" t="s">
        <v>14</v>
      </c>
      <c r="U43" s="706">
        <f t="shared" si="13"/>
        <v>100</v>
      </c>
      <c r="V43" s="705" t="s">
        <v>14</v>
      </c>
      <c r="W43" s="706">
        <f t="shared" si="14"/>
        <v>100</v>
      </c>
      <c r="X43" s="1355"/>
      <c r="Y43" s="368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81"/>
      <c r="Q44" s="1352" t="str">
        <f t="shared" si="11"/>
        <v>内部装修维护情况</v>
      </c>
      <c r="R44" s="705" t="s">
        <v>14</v>
      </c>
      <c r="S44" s="706">
        <f t="shared" si="12"/>
        <v>100</v>
      </c>
      <c r="T44" s="705" t="s">
        <v>14</v>
      </c>
      <c r="U44" s="706">
        <f t="shared" si="13"/>
        <v>100</v>
      </c>
      <c r="V44" s="705" t="s">
        <v>14</v>
      </c>
      <c r="W44" s="706">
        <f t="shared" si="14"/>
        <v>100</v>
      </c>
      <c r="X44" s="1355"/>
      <c r="Y44" s="368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81"/>
      <c r="Q45" s="1343">
        <f t="shared" si="11"/>
        <v>111</v>
      </c>
      <c r="R45" s="701" t="s">
        <v>14</v>
      </c>
      <c r="S45" s="702">
        <f t="shared" si="12"/>
        <v>100</v>
      </c>
      <c r="T45" s="701" t="s">
        <v>14</v>
      </c>
      <c r="U45" s="702">
        <f t="shared" si="13"/>
        <v>100</v>
      </c>
      <c r="V45" s="701" t="s">
        <v>14</v>
      </c>
      <c r="W45" s="702">
        <f t="shared" si="14"/>
        <v>100</v>
      </c>
      <c r="X45" s="703"/>
      <c r="Y45" s="368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81"/>
      <c r="Q46" s="1352">
        <f t="shared" si="11"/>
        <v>111</v>
      </c>
      <c r="R46" s="705" t="s">
        <v>14</v>
      </c>
      <c r="S46" s="706">
        <f t="shared" si="12"/>
        <v>100</v>
      </c>
      <c r="T46" s="705" t="s">
        <v>14</v>
      </c>
      <c r="U46" s="706">
        <f t="shared" si="13"/>
        <v>100</v>
      </c>
      <c r="V46" s="705" t="s">
        <v>14</v>
      </c>
      <c r="W46" s="706">
        <f t="shared" si="14"/>
        <v>100</v>
      </c>
      <c r="X46" s="1355"/>
      <c r="Y46" s="368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82"/>
      <c r="Q47" s="1352">
        <f t="shared" si="11"/>
        <v>111</v>
      </c>
      <c r="R47" s="705" t="s">
        <v>14</v>
      </c>
      <c r="S47" s="706">
        <f t="shared" si="12"/>
        <v>100</v>
      </c>
      <c r="T47" s="705" t="s">
        <v>14</v>
      </c>
      <c r="U47" s="706">
        <f t="shared" si="13"/>
        <v>100</v>
      </c>
      <c r="V47" s="705" t="s">
        <v>14</v>
      </c>
      <c r="W47" s="706">
        <f t="shared" si="14"/>
        <v>100</v>
      </c>
      <c r="X47" s="1355"/>
      <c r="Y47" s="368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87" t="str">
        <f>A48</f>
        <v>成交单价（元/平方米）</v>
      </c>
      <c r="Q48" s="3676"/>
      <c r="R48" s="3677">
        <f>E48</f>
        <v>0</v>
      </c>
      <c r="S48" s="3677"/>
      <c r="T48" s="3677">
        <f>G48</f>
        <v>0</v>
      </c>
      <c r="U48" s="3677"/>
      <c r="V48" s="3677">
        <f>I48</f>
        <v>0</v>
      </c>
      <c r="W48" s="367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87" t="str">
        <f>A49</f>
        <v>比较价值（元/平方米）</v>
      </c>
      <c r="Q49" s="3676"/>
      <c r="R49" s="3677" t="e">
        <f>IF(F1="售价",ROUND(PRODUCT(R48,AA7:AA47),0),ROUND(PRODUCT(R48,AA7:AA47),1))</f>
        <v>#DIV/0!</v>
      </c>
      <c r="S49" s="3677"/>
      <c r="T49" s="3677" t="e">
        <f>IF(F1="售价",ROUND(PRODUCT(T48,AB7:AB47),0),ROUND(PRODUCT(T48,AB7:AB47),1))</f>
        <v>#DIV/0!</v>
      </c>
      <c r="U49" s="3677"/>
      <c r="V49" s="3677" t="e">
        <f>IF(F1="售价",ROUND(PRODUCT(V48,AC7:AC47),0),ROUND(PRODUCT(V48,AC7:AC47),1))</f>
        <v>#DIV/0!</v>
      </c>
      <c r="W49" s="367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22" t="str">
        <f>A50</f>
        <v>估价对象XX用房的比较价值（楼面单价，元/平方米）</v>
      </c>
      <c r="Q50" s="3723"/>
      <c r="R50" s="3724" t="e">
        <f>IF(F1="售价",ROUND(IF(D49="简单平均",AVERAGE(R49:V49),R49*F49+T49*H49+V49*J49),0),ROUND(IF(D49="简单平均",AVERAGE(R49:V49),R49*F49+T49*H49+V49*J49),1))</f>
        <v>#DIV/0!</v>
      </c>
      <c r="S50" s="3724"/>
      <c r="T50" s="3724"/>
      <c r="U50" s="3724"/>
      <c r="V50" s="3724"/>
      <c r="W50" s="3724"/>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xr:uid="{00000000-0002-0000-1C00-000000000000}">
      <formula1>办公建筑结构</formula1>
    </dataValidation>
    <dataValidation type="list" allowBlank="1" showInputMessage="1" showErrorMessage="1" sqref="E24 G24 I24 C24" xr:uid="{00000000-0002-0000-1C00-000001000000}">
      <formula1>环境</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0 I20 G20 C20" xr:uid="{00000000-0002-0000-1C00-000003000000}">
      <formula1>公共配套设施</formula1>
    </dataValidation>
    <dataValidation type="list" allowBlank="1" showInputMessage="1" showErrorMessage="1" sqref="C44 E44 G44 I44" xr:uid="{00000000-0002-0000-1C00-000004000000}">
      <formula1>内部装修维护情况</formula1>
    </dataValidation>
    <dataValidation type="list" allowBlank="1" showInputMessage="1" showErrorMessage="1" sqref="D1" xr:uid="{00000000-0002-0000-1C00-000005000000}">
      <formula1>项目类型</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G26 C26 E26 I26" xr:uid="{00000000-0002-0000-1C00-000008000000}">
      <formula1>办公道路级别</formula1>
    </dataValidation>
    <dataValidation type="list" allowBlank="1" showInputMessage="1" showErrorMessage="1" sqref="C28 E28 G28 I28" xr:uid="{00000000-0002-0000-1C00-000009000000}">
      <formula1>办公朝向</formula1>
    </dataValidation>
    <dataValidation type="list" allowBlank="1" showInputMessage="1" showErrorMessage="1" sqref="C27 E27 G27 I27" xr:uid="{00000000-0002-0000-1C00-00000A000000}">
      <formula1>办公楼层</formula1>
    </dataValidation>
    <dataValidation type="list" allowBlank="1" showInputMessage="1" showErrorMessage="1" sqref="C33 E33 G33 I33" xr:uid="{00000000-0002-0000-1C00-00000B000000}">
      <formula1>办公建筑类型</formula1>
    </dataValidation>
    <dataValidation type="list" allowBlank="1" showInputMessage="1" showErrorMessage="1" sqref="C36 E36 G36 I36" xr:uid="{00000000-0002-0000-1C00-00000C000000}">
      <formula1>办公公共部分装修</formula1>
    </dataValidation>
    <dataValidation type="list" allowBlank="1" showInputMessage="1" showErrorMessage="1" sqref="C38 E38 G38 I38" xr:uid="{00000000-0002-0000-1C00-00000D000000}">
      <formula1>写字楼等级</formula1>
    </dataValidation>
    <dataValidation type="list" allowBlank="1" showInputMessage="1" showErrorMessage="1" sqref="C39 E39 G39 I39" xr:uid="{00000000-0002-0000-1C00-00000E000000}">
      <formula1>办公物业管理</formula1>
    </dataValidation>
    <dataValidation type="list" allowBlank="1" showInputMessage="1" showErrorMessage="1" sqref="C40 E40 G40 I40" xr:uid="{00000000-0002-0000-1C00-00000F000000}">
      <formula1>办公基础设施水平</formula1>
    </dataValidation>
    <dataValidation type="list" allowBlank="1" showInputMessage="1" showErrorMessage="1" sqref="C41 E41 G41 I41" xr:uid="{00000000-0002-0000-1C00-000010000000}">
      <formula1>办公层高</formula1>
    </dataValidation>
    <dataValidation type="list" allowBlank="1" showInputMessage="1" showErrorMessage="1" sqref="C43 E43 G43 I43" xr:uid="{00000000-0002-0000-1C00-000011000000}">
      <formula1>办公内部装修</formula1>
    </dataValidation>
    <dataValidation type="list" allowBlank="1" showInputMessage="1" showErrorMessage="1" sqref="C8 E8 G8 I8" xr:uid="{00000000-0002-0000-1C00-000012000000}">
      <formula1>办公交易情况</formula1>
    </dataValidation>
    <dataValidation type="list" allowBlank="1" showInputMessage="1" showErrorMessage="1" sqref="C22 E22 G22 I22" xr:uid="{00000000-0002-0000-1C00-000013000000}">
      <formula1>基础设施水平</formula1>
    </dataValidation>
    <dataValidation type="list" allowBlank="1" showInputMessage="1" showErrorMessage="1" sqref="F1" xr:uid="{00000000-0002-0000-1C00-000014000000}">
      <formula1>"售价,租金"</formula1>
    </dataValidation>
    <dataValidation type="list" allowBlank="1" showInputMessage="1" showErrorMessage="1" sqref="C2" xr:uid="{00000000-0002-0000-1C00-000015000000}">
      <formula1>"需扣减承租人权益,——"</formula1>
    </dataValidation>
    <dataValidation type="list" allowBlank="1" showInputMessage="1" showErrorMessage="1" sqref="F2" xr:uid="{00000000-0002-0000-1C00-000016000000}">
      <formula1>估价方法</formula1>
    </dataValidation>
    <dataValidation type="list" allowBlank="1" showInputMessage="1" showErrorMessage="1" sqref="D49" xr:uid="{00000000-0002-0000-1C00-000017000000}">
      <formula1>"简单平均,加权平均"</formula1>
    </dataValidation>
    <dataValidation type="list" allowBlank="1" showInputMessage="1" showErrorMessage="1" sqref="E1" xr:uid="{00000000-0002-0000-1C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v>
      </c>
    </row>
    <row r="4" spans="1:1" ht="18">
      <c r="A4" s="1480" t="str">
        <f>"受贵公司委托，我公司对"&amp;项目基本情况!S1&amp;"进行了预评估。"</f>
        <v>受贵公司委托，我公司对北京市房地产市场价值进行了预评估。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估价对象为北京市房地产，为所有。根据《国有土地使用证》[]，估价对象（分摊）出让国有建设用地使用权面积为0平方米，建筑面积为162.94平方米。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估价对象为北京市房地产,属开发建设的，该项目尚在开发建设中。根据《国有土地使用证》[]，估价对象（分摊）出让国有建设用地使用权面积为0平方米，规划建筑面积为162.94平方米。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为估价委托人了解估价对象房地产市场价值提供参考依据。</v>
      </c>
    </row>
    <row r="14" spans="1:1" ht="18.75">
      <c r="A14" s="1485" t="s">
        <v>905</v>
      </c>
    </row>
    <row r="15" spans="1:1" ht="18">
      <c r="A15" s="1486" t="str">
        <f>TEXT(项目基本情况!D3,"yyyy年m月d日;;")&amp;IF(项目基本情况!D3=项目基本情况!B3,"（评估专业人员实地查勘之日）","")</f>
        <v>2023年8月15日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15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80" t="str">
        <f>IF(项目基本情况!B9="房地产市场价值","——",IF(项目基本情况!E8="房地产抵押价值",定义!C54,IF(项目基本情况!E8="已注销",定义!C55,定义!C56)))</f>
        <v>——</v>
      </c>
    </row>
    <row r="21" spans="1:1" ht="18">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80" t="str">
        <f>IF(项目基本情况!B9="房地产市场价值","——",IF(项目基本情况!E9="——","",定义!C57))</f>
        <v>——</v>
      </c>
    </row>
    <row r="23" spans="1:1" ht="18.75">
      <c r="A23" s="1485" t="s">
        <v>896</v>
      </c>
    </row>
    <row r="24" spans="1:1" ht="18">
      <c r="A24" s="1487" t="str">
        <f>"本次评估采用的主估价方法为"&amp;结果表!K4&amp;"和"&amp;结果表!L4&amp;"。"</f>
        <v>本次评估采用的主估价方法为收益法和比较法。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162.94</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913"/>
      <c r="M4" s="914"/>
      <c r="N4" s="914"/>
      <c r="O4" s="9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913"/>
      <c r="M5" s="914"/>
      <c r="N5" s="914"/>
      <c r="O5" s="9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913"/>
      <c r="M6" s="914"/>
      <c r="N6" s="914"/>
      <c r="O6" s="9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SUMIF(52:52,YEAR(E7)&amp;"-"&amp;MONTH(E7),53:53)</f>
        <v>0</v>
      </c>
      <c r="G7" s="366"/>
      <c r="H7" s="365">
        <f>SUMIF(52:52,YEAR(G7)&amp;"-"&amp;MONTH(G7),53:53)</f>
        <v>0</v>
      </c>
      <c r="I7" s="366"/>
      <c r="J7" s="365">
        <f>SUMIF(52:52,YEAR(I7)&amp;"-"&amp;MONTH(I7),53:53)</f>
        <v>0</v>
      </c>
      <c r="K7" s="560"/>
      <c r="L7" s="915"/>
      <c r="M7" s="916"/>
      <c r="N7" s="916"/>
      <c r="O7" s="9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12" t="s">
        <v>1683</v>
      </c>
      <c r="Q8" s="3713"/>
      <c r="R8" s="701" t="s">
        <v>14</v>
      </c>
      <c r="S8" s="702">
        <f t="shared" si="0"/>
        <v>100</v>
      </c>
      <c r="T8" s="701" t="s">
        <v>14</v>
      </c>
      <c r="U8" s="702">
        <f t="shared" si="1"/>
        <v>100</v>
      </c>
      <c r="V8" s="701" t="s">
        <v>14</v>
      </c>
      <c r="W8" s="702">
        <f t="shared" si="2"/>
        <v>100</v>
      </c>
      <c r="X8" s="703"/>
      <c r="Y8" s="3712" t="s">
        <v>1683</v>
      </c>
      <c r="Z8" s="371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76"/>
      <c r="Q11" s="1343" t="str">
        <f t="shared" si="6"/>
        <v>容积率</v>
      </c>
      <c r="R11" s="701" t="s">
        <v>14</v>
      </c>
      <c r="S11" s="702">
        <f t="shared" si="0"/>
        <v>100</v>
      </c>
      <c r="T11" s="701" t="s">
        <v>14</v>
      </c>
      <c r="U11" s="702">
        <f t="shared" si="1"/>
        <v>100</v>
      </c>
      <c r="V11" s="701" t="s">
        <v>14</v>
      </c>
      <c r="W11" s="702">
        <f t="shared" si="2"/>
        <v>100</v>
      </c>
      <c r="X11" s="703"/>
      <c r="Y11" s="355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79"/>
      <c r="Q16" s="1352"/>
      <c r="R16" s="705"/>
      <c r="S16" s="706"/>
      <c r="T16" s="705"/>
      <c r="U16" s="706"/>
      <c r="V16" s="705"/>
      <c r="W16" s="706"/>
      <c r="X16" s="1355"/>
      <c r="Y16" s="367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79"/>
      <c r="Q18" s="1352"/>
      <c r="R18" s="705"/>
      <c r="S18" s="706"/>
      <c r="T18" s="705"/>
      <c r="U18" s="706"/>
      <c r="V18" s="705"/>
      <c r="W18" s="706"/>
      <c r="X18" s="1355"/>
      <c r="Y18" s="367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79"/>
      <c r="Q19" s="1352" t="str">
        <f>B19</f>
        <v>公共配套设施</v>
      </c>
      <c r="R19" s="705" t="s">
        <v>14</v>
      </c>
      <c r="S19" s="706">
        <f>F19</f>
        <v>100</v>
      </c>
      <c r="T19" s="705" t="s">
        <v>14</v>
      </c>
      <c r="U19" s="706">
        <f>H19</f>
        <v>100</v>
      </c>
      <c r="V19" s="705" t="s">
        <v>14</v>
      </c>
      <c r="W19" s="706">
        <f>J19</f>
        <v>100</v>
      </c>
      <c r="X19" s="1355"/>
      <c r="Y19" s="367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79"/>
      <c r="Q20" s="1352"/>
      <c r="R20" s="705"/>
      <c r="S20" s="706"/>
      <c r="T20" s="705"/>
      <c r="U20" s="706"/>
      <c r="V20" s="705"/>
      <c r="W20" s="706"/>
      <c r="X20" s="1355"/>
      <c r="Y20" s="367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79"/>
      <c r="Q21" s="1352" t="str">
        <f>B21</f>
        <v>基础设施水平</v>
      </c>
      <c r="R21" s="705" t="s">
        <v>14</v>
      </c>
      <c r="S21" s="706">
        <f>F21</f>
        <v>100</v>
      </c>
      <c r="T21" s="705" t="s">
        <v>14</v>
      </c>
      <c r="U21" s="706">
        <f>H21</f>
        <v>100</v>
      </c>
      <c r="V21" s="705" t="s">
        <v>14</v>
      </c>
      <c r="W21" s="706">
        <f>J21</f>
        <v>100</v>
      </c>
      <c r="X21" s="1355"/>
      <c r="Y21" s="367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79"/>
      <c r="Q22" s="1352"/>
      <c r="R22" s="705"/>
      <c r="S22" s="706"/>
      <c r="T22" s="705"/>
      <c r="U22" s="706"/>
      <c r="V22" s="705"/>
      <c r="W22" s="706"/>
      <c r="X22" s="1355"/>
      <c r="Y22" s="367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79"/>
      <c r="Q23" s="1352" t="str">
        <f>B23</f>
        <v>环境质量</v>
      </c>
      <c r="R23" s="705" t="s">
        <v>14</v>
      </c>
      <c r="S23" s="706">
        <f>F23</f>
        <v>100</v>
      </c>
      <c r="T23" s="705" t="s">
        <v>14</v>
      </c>
      <c r="U23" s="706">
        <f>H23</f>
        <v>100</v>
      </c>
      <c r="V23" s="705" t="s">
        <v>14</v>
      </c>
      <c r="W23" s="706">
        <f>J23</f>
        <v>100</v>
      </c>
      <c r="X23" s="1355"/>
      <c r="Y23" s="367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79"/>
      <c r="Q24" s="1352"/>
      <c r="R24" s="705"/>
      <c r="S24" s="706"/>
      <c r="T24" s="705"/>
      <c r="U24" s="706"/>
      <c r="V24" s="705"/>
      <c r="W24" s="706"/>
      <c r="X24" s="1355"/>
      <c r="Y24" s="367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79"/>
      <c r="Q25" s="1352">
        <f>B25</f>
        <v>111</v>
      </c>
      <c r="R25" s="705" t="s">
        <v>14</v>
      </c>
      <c r="S25" s="706">
        <f>F25</f>
        <v>100</v>
      </c>
      <c r="T25" s="705" t="s">
        <v>14</v>
      </c>
      <c r="U25" s="706">
        <f>H25</f>
        <v>100</v>
      </c>
      <c r="V25" s="705" t="s">
        <v>14</v>
      </c>
      <c r="W25" s="706">
        <f>J25</f>
        <v>100</v>
      </c>
      <c r="X25" s="1355"/>
      <c r="Y25" s="367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79"/>
      <c r="Q26" s="1352">
        <f t="shared" ref="Q26:Q40" si="11">B26</f>
        <v>111</v>
      </c>
      <c r="R26" s="705" t="s">
        <v>14</v>
      </c>
      <c r="S26" s="706">
        <f>F26</f>
        <v>100</v>
      </c>
      <c r="T26" s="705" t="s">
        <v>14</v>
      </c>
      <c r="U26" s="706">
        <f>H26</f>
        <v>100</v>
      </c>
      <c r="V26" s="705" t="s">
        <v>14</v>
      </c>
      <c r="W26" s="706">
        <f>J26</f>
        <v>100</v>
      </c>
      <c r="X26" s="1355"/>
      <c r="Y26" s="367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79"/>
      <c r="Q27" s="1343">
        <f t="shared" si="11"/>
        <v>111</v>
      </c>
      <c r="R27" s="701" t="s">
        <v>14</v>
      </c>
      <c r="S27" s="702">
        <f>F27</f>
        <v>100</v>
      </c>
      <c r="T27" s="701" t="s">
        <v>14</v>
      </c>
      <c r="U27" s="702">
        <f>H27</f>
        <v>100</v>
      </c>
      <c r="V27" s="701" t="s">
        <v>14</v>
      </c>
      <c r="W27" s="702">
        <f>J27</f>
        <v>100</v>
      </c>
      <c r="X27" s="703"/>
      <c r="Y27" s="367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79"/>
      <c r="Q28" s="1352">
        <f t="shared" si="11"/>
        <v>111</v>
      </c>
      <c r="R28" s="705" t="s">
        <v>14</v>
      </c>
      <c r="S28" s="706">
        <f t="shared" ref="S28:S40" si="12">F28</f>
        <v>100</v>
      </c>
      <c r="T28" s="705" t="s">
        <v>14</v>
      </c>
      <c r="U28" s="706">
        <f t="shared" ref="U28:U40" si="13">H28</f>
        <v>100</v>
      </c>
      <c r="V28" s="705" t="s">
        <v>14</v>
      </c>
      <c r="W28" s="706">
        <f t="shared" ref="W28:W40" si="14">J28</f>
        <v>100</v>
      </c>
      <c r="X28" s="1355"/>
      <c r="Y28" s="3679"/>
      <c r="Z28" s="1356">
        <f t="shared" ref="Z28:Z40" si="15">Q28</f>
        <v>111</v>
      </c>
      <c r="AA28" s="1353">
        <f t="shared" si="3"/>
        <v>1</v>
      </c>
      <c r="AB28" s="1353">
        <f t="shared" si="4"/>
        <v>1</v>
      </c>
      <c r="AC28" s="1353">
        <f t="shared" si="5"/>
        <v>1</v>
      </c>
    </row>
    <row r="29" spans="1:29" ht="29.2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37" t="s">
        <v>1696</v>
      </c>
      <c r="Q29" s="1352" t="str">
        <f t="shared" si="11"/>
        <v>建筑类型</v>
      </c>
      <c r="R29" s="705" t="s">
        <v>14</v>
      </c>
      <c r="S29" s="706">
        <f t="shared" si="12"/>
        <v>100</v>
      </c>
      <c r="T29" s="705" t="s">
        <v>14</v>
      </c>
      <c r="U29" s="706">
        <f t="shared" si="13"/>
        <v>100</v>
      </c>
      <c r="V29" s="705" t="s">
        <v>14</v>
      </c>
      <c r="W29" s="706">
        <f t="shared" si="14"/>
        <v>100</v>
      </c>
      <c r="X29" s="1355"/>
      <c r="Y29" s="368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83"/>
      <c r="Q30" s="707" t="str">
        <f t="shared" si="11"/>
        <v>项目建筑规模</v>
      </c>
      <c r="R30" s="708" t="s">
        <v>14</v>
      </c>
      <c r="S30" s="709" t="e">
        <f t="shared" si="12"/>
        <v>#N/A</v>
      </c>
      <c r="T30" s="708" t="s">
        <v>14</v>
      </c>
      <c r="U30" s="709" t="e">
        <f t="shared" si="13"/>
        <v>#N/A</v>
      </c>
      <c r="V30" s="708" t="s">
        <v>14</v>
      </c>
      <c r="W30" s="709" t="e">
        <f t="shared" si="14"/>
        <v>#N/A</v>
      </c>
      <c r="X30" s="710"/>
      <c r="Y30" s="368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83"/>
      <c r="Q31" s="1352" t="str">
        <f t="shared" si="11"/>
        <v>建筑结构</v>
      </c>
      <c r="R31" s="705" t="s">
        <v>14</v>
      </c>
      <c r="S31" s="706">
        <f t="shared" si="12"/>
        <v>100</v>
      </c>
      <c r="T31" s="705" t="s">
        <v>14</v>
      </c>
      <c r="U31" s="706">
        <f t="shared" si="13"/>
        <v>100</v>
      </c>
      <c r="V31" s="705" t="s">
        <v>14</v>
      </c>
      <c r="W31" s="706">
        <f t="shared" si="14"/>
        <v>100</v>
      </c>
      <c r="X31" s="1355"/>
      <c r="Y31" s="368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83"/>
      <c r="Q32" s="1352" t="str">
        <f t="shared" si="11"/>
        <v>公共部分装修</v>
      </c>
      <c r="R32" s="705" t="s">
        <v>14</v>
      </c>
      <c r="S32" s="706">
        <f t="shared" si="12"/>
        <v>100</v>
      </c>
      <c r="T32" s="705" t="s">
        <v>14</v>
      </c>
      <c r="U32" s="706">
        <f t="shared" si="13"/>
        <v>100</v>
      </c>
      <c r="V32" s="705" t="s">
        <v>14</v>
      </c>
      <c r="W32" s="706">
        <f t="shared" si="14"/>
        <v>100</v>
      </c>
      <c r="X32" s="1355"/>
      <c r="Y32" s="368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83"/>
      <c r="Q33" s="1352" t="str">
        <f t="shared" si="11"/>
        <v>成新度</v>
      </c>
      <c r="R33" s="705" t="s">
        <v>14</v>
      </c>
      <c r="S33" s="706" t="e">
        <f t="shared" si="12"/>
        <v>#N/A</v>
      </c>
      <c r="T33" s="705" t="s">
        <v>14</v>
      </c>
      <c r="U33" s="706" t="e">
        <f t="shared" si="13"/>
        <v>#N/A</v>
      </c>
      <c r="V33" s="705" t="s">
        <v>14</v>
      </c>
      <c r="W33" s="706" t="e">
        <f t="shared" si="14"/>
        <v>#N/A</v>
      </c>
      <c r="X33" s="1355"/>
      <c r="Y33" s="368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83"/>
      <c r="Q34" s="1343" t="str">
        <f t="shared" si="11"/>
        <v>物业管理</v>
      </c>
      <c r="R34" s="701" t="s">
        <v>14</v>
      </c>
      <c r="S34" s="702">
        <f t="shared" si="12"/>
        <v>100</v>
      </c>
      <c r="T34" s="701" t="s">
        <v>14</v>
      </c>
      <c r="U34" s="702">
        <f t="shared" si="13"/>
        <v>100</v>
      </c>
      <c r="V34" s="701" t="s">
        <v>14</v>
      </c>
      <c r="W34" s="702">
        <f t="shared" si="14"/>
        <v>100</v>
      </c>
      <c r="X34" s="703"/>
      <c r="Y34" s="368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83" t="s">
        <v>1696</v>
      </c>
      <c r="Q35" s="1352" t="str">
        <f t="shared" si="11"/>
        <v>市政基础设施</v>
      </c>
      <c r="R35" s="705" t="s">
        <v>14</v>
      </c>
      <c r="S35" s="706">
        <f t="shared" si="12"/>
        <v>100</v>
      </c>
      <c r="T35" s="705" t="s">
        <v>14</v>
      </c>
      <c r="U35" s="706">
        <f t="shared" si="13"/>
        <v>100</v>
      </c>
      <c r="V35" s="705" t="s">
        <v>14</v>
      </c>
      <c r="W35" s="706">
        <f t="shared" si="14"/>
        <v>100</v>
      </c>
      <c r="X35" s="1355"/>
      <c r="Y35" s="368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83"/>
      <c r="Q36" s="1352" t="str">
        <f t="shared" si="11"/>
        <v>内部装修</v>
      </c>
      <c r="R36" s="705" t="s">
        <v>14</v>
      </c>
      <c r="S36" s="706">
        <f t="shared" si="12"/>
        <v>100</v>
      </c>
      <c r="T36" s="705" t="s">
        <v>14</v>
      </c>
      <c r="U36" s="706">
        <f t="shared" si="13"/>
        <v>100</v>
      </c>
      <c r="V36" s="705" t="s">
        <v>14</v>
      </c>
      <c r="W36" s="706">
        <f t="shared" si="14"/>
        <v>100</v>
      </c>
      <c r="X36" s="1355"/>
      <c r="Y36" s="368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83"/>
      <c r="Q37" s="1352" t="str">
        <f t="shared" si="11"/>
        <v>内部装修状况</v>
      </c>
      <c r="R37" s="705" t="s">
        <v>14</v>
      </c>
      <c r="S37" s="706">
        <f t="shared" si="12"/>
        <v>100</v>
      </c>
      <c r="T37" s="705" t="s">
        <v>14</v>
      </c>
      <c r="U37" s="706">
        <f t="shared" si="13"/>
        <v>100</v>
      </c>
      <c r="V37" s="705" t="s">
        <v>14</v>
      </c>
      <c r="W37" s="706">
        <f t="shared" si="14"/>
        <v>100</v>
      </c>
      <c r="X37" s="1355"/>
      <c r="Y37" s="368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83"/>
      <c r="Q38" s="707">
        <f t="shared" si="11"/>
        <v>111</v>
      </c>
      <c r="R38" s="708" t="s">
        <v>14</v>
      </c>
      <c r="S38" s="709">
        <f t="shared" si="12"/>
        <v>100</v>
      </c>
      <c r="T38" s="708" t="s">
        <v>14</v>
      </c>
      <c r="U38" s="709">
        <f t="shared" si="13"/>
        <v>100</v>
      </c>
      <c r="V38" s="708" t="s">
        <v>14</v>
      </c>
      <c r="W38" s="709">
        <f t="shared" si="14"/>
        <v>100</v>
      </c>
      <c r="X38" s="710"/>
      <c r="Y38" s="368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83"/>
      <c r="Q39" s="1352">
        <f t="shared" si="11"/>
        <v>111</v>
      </c>
      <c r="R39" s="705" t="s">
        <v>14</v>
      </c>
      <c r="S39" s="706">
        <f t="shared" si="12"/>
        <v>100</v>
      </c>
      <c r="T39" s="705" t="s">
        <v>14</v>
      </c>
      <c r="U39" s="706">
        <f t="shared" si="13"/>
        <v>100</v>
      </c>
      <c r="V39" s="705" t="s">
        <v>14</v>
      </c>
      <c r="W39" s="706">
        <f t="shared" si="14"/>
        <v>100</v>
      </c>
      <c r="X39" s="1355"/>
      <c r="Y39" s="368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84"/>
      <c r="Q40" s="1352">
        <f t="shared" si="11"/>
        <v>111</v>
      </c>
      <c r="R40" s="705" t="s">
        <v>14</v>
      </c>
      <c r="S40" s="706">
        <f t="shared" si="12"/>
        <v>100</v>
      </c>
      <c r="T40" s="705" t="s">
        <v>14</v>
      </c>
      <c r="U40" s="706">
        <f t="shared" si="13"/>
        <v>100</v>
      </c>
      <c r="V40" s="705" t="s">
        <v>14</v>
      </c>
      <c r="W40" s="706">
        <f t="shared" si="14"/>
        <v>100</v>
      </c>
      <c r="X40" s="1355"/>
      <c r="Y40" s="368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76" t="str">
        <f>A41</f>
        <v>成交单价（元/平方米）</v>
      </c>
      <c r="Q41" s="3676"/>
      <c r="R41" s="3677">
        <f>E41</f>
        <v>0</v>
      </c>
      <c r="S41" s="3677"/>
      <c r="T41" s="3677">
        <f>G41</f>
        <v>0</v>
      </c>
      <c r="U41" s="3677"/>
      <c r="V41" s="3677">
        <f>I41</f>
        <v>0</v>
      </c>
      <c r="W41" s="367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76" t="str">
        <f>A42</f>
        <v>比较价值（元/平方米）</v>
      </c>
      <c r="Q42" s="3676"/>
      <c r="R42" s="3677" t="e">
        <f>IF(F1="售价",ROUND(PRODUCT(R41,AA7:AA40),0),ROUND(PRODUCT(R41,AA7:AA40),1))</f>
        <v>#DIV/0!</v>
      </c>
      <c r="S42" s="3677"/>
      <c r="T42" s="3677" t="e">
        <f>IF(F1="售价",ROUND(PRODUCT(T41,AB7:AB40),0),ROUND(PRODUCT(T41,AB7:AB40),1))</f>
        <v>#DIV/0!</v>
      </c>
      <c r="U42" s="3677"/>
      <c r="V42" s="3677" t="e">
        <f>IF(F1="售价",ROUND(PRODUCT(V41,AC7:AC40),0),ROUND(PRODUCT(V41,AC7:AC40),1))</f>
        <v>#DIV/0!</v>
      </c>
      <c r="W42" s="367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73" t="str">
        <f>A43</f>
        <v>估价对象XX用房的比较价值（楼面单价，元/平方米）</v>
      </c>
      <c r="Q43" s="3674"/>
      <c r="R43" s="3675" t="e">
        <f>IF(F1="售价",ROUND(IF(D42="简单平均",AVERAGE(R42:V42),R42*F42+T42*H42+V42*J42),0),ROUND(IF(D42="简单平均",AVERAGE(R42:V42),R42*F42+T42*H42+V42*J42),1))</f>
        <v>#DIV/0!</v>
      </c>
      <c r="S43" s="3675"/>
      <c r="T43" s="3675"/>
      <c r="U43" s="3675"/>
      <c r="V43" s="3675"/>
      <c r="W43" s="367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C20 G20 E20 I20" xr:uid="{00000000-0002-0000-1D00-000001000000}">
      <formula1>公共配套设施</formula1>
    </dataValidation>
    <dataValidation type="list" allowBlank="1" showInputMessage="1" showErrorMessage="1" sqref="E18 G18 I18 C18" xr:uid="{00000000-0002-0000-1D00-000002000000}">
      <formula1>交通便捷度</formula1>
    </dataValidation>
    <dataValidation type="list" allowBlank="1" showInputMessage="1" showErrorMessage="1" sqref="E24 G24 I24 C24" xr:uid="{00000000-0002-0000-1D00-000003000000}">
      <formula1>环境</formula1>
    </dataValidation>
    <dataValidation type="list" allowBlank="1" showInputMessage="1" showErrorMessage="1" sqref="C8 E8 G8 I8" xr:uid="{00000000-0002-0000-1D00-000004000000}">
      <formula1>工业交易情况</formula1>
    </dataValidation>
    <dataValidation type="list" allowBlank="1" showInputMessage="1" showErrorMessage="1" sqref="E9 G9 I9" xr:uid="{00000000-0002-0000-1D00-000005000000}">
      <formula1>工业用途</formula1>
    </dataValidation>
    <dataValidation type="list" allowBlank="1" showInputMessage="1" showErrorMessage="1" sqref="C29 E29 G29 I29" xr:uid="{00000000-0002-0000-1D00-000006000000}">
      <formula1>工业建筑类型</formula1>
    </dataValidation>
    <dataValidation type="list" allowBlank="1" showInputMessage="1" showErrorMessage="1" sqref="C31 E31 G31 I31" xr:uid="{00000000-0002-0000-1D00-000007000000}">
      <formula1>工业建筑结构</formula1>
    </dataValidation>
    <dataValidation type="list" allowBlank="1" showInputMessage="1" showErrorMessage="1" sqref="C32 E32 G32 I32" xr:uid="{00000000-0002-0000-1D00-000008000000}">
      <formula1>工业公共部分装修</formula1>
    </dataValidation>
    <dataValidation type="list" allowBlank="1" showInputMessage="1" showErrorMessage="1" sqref="C34 E34 G34 I34" xr:uid="{00000000-0002-0000-1D00-000009000000}">
      <formula1>工业物业管理</formula1>
    </dataValidation>
    <dataValidation type="list" allowBlank="1" showInputMessage="1" showErrorMessage="1" sqref="C35 E35 G35 I35" xr:uid="{00000000-0002-0000-1D00-00000A000000}">
      <formula1>工业基础设施水平</formula1>
    </dataValidation>
    <dataValidation type="list" allowBlank="1" showInputMessage="1" showErrorMessage="1" sqref="C36 E36 G36 I36" xr:uid="{00000000-0002-0000-1D00-00000B000000}">
      <formula1>工业内部装修</formula1>
    </dataValidation>
    <dataValidation type="list" allowBlank="1" showInputMessage="1" showErrorMessage="1" sqref="C37 E37 G37 I37" xr:uid="{00000000-0002-0000-1D00-00000C000000}">
      <formula1>内部装修维护情况</formula1>
    </dataValidation>
    <dataValidation type="list" allowBlank="1" showInputMessage="1" showErrorMessage="1" sqref="C16 E16 G16 I16" xr:uid="{00000000-0002-0000-1D00-00000D000000}">
      <formula1>产业集聚程度</formula1>
    </dataValidation>
    <dataValidation type="list" allowBlank="1" showInputMessage="1" showErrorMessage="1" sqref="C22 E22 G22 I22"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42"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3336</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28.25">
      <c r="A14" s="355" t="s">
        <v>1690</v>
      </c>
      <c r="B14" s="577"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79"/>
      <c r="Q15" s="1352"/>
      <c r="R15" s="705"/>
      <c r="S15" s="706"/>
      <c r="T15" s="705"/>
      <c r="U15" s="706"/>
      <c r="V15" s="705"/>
      <c r="W15" s="706"/>
      <c r="X15" s="1355"/>
      <c r="Y15" s="3679"/>
      <c r="Z15" s="1356"/>
      <c r="AA15" s="1353">
        <v>1</v>
      </c>
      <c r="AB15" s="1353">
        <v>1</v>
      </c>
      <c r="AC15" s="1353">
        <v>1</v>
      </c>
    </row>
    <row r="16" spans="1:29" ht="42.75">
      <c r="A16" s="358"/>
      <c r="B16" s="579" t="s">
        <v>1812</v>
      </c>
      <c r="C16" s="1900" t="str">
        <f>IF(B1="工业",估价对象房地状况!G5,估价对象房地状况!C7)</f>
        <v>估价对象所在区域公共配套设施齐备情况较好</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79"/>
      <c r="Q17" s="1352"/>
      <c r="R17" s="705"/>
      <c r="S17" s="706"/>
      <c r="T17" s="705"/>
      <c r="U17" s="706"/>
      <c r="V17" s="705"/>
      <c r="W17" s="706"/>
      <c r="X17" s="1355"/>
      <c r="Y17" s="3679"/>
      <c r="Z17" s="1356"/>
      <c r="AA17" s="1353">
        <v>1</v>
      </c>
      <c r="AB17" s="1353">
        <v>1</v>
      </c>
      <c r="AC17" s="1353">
        <v>1</v>
      </c>
    </row>
    <row r="18" spans="1:29" ht="42.75">
      <c r="A18" s="358"/>
      <c r="B18" s="581" t="s">
        <v>1813</v>
      </c>
      <c r="C18" s="1900" t="str">
        <f>IF(B1="工业",估价对象房地状况!G6,估价对象房地状况!C8)</f>
        <v>估价对象所在区域基础设施水平达七通</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79"/>
      <c r="Q19" s="1352"/>
      <c r="R19" s="705"/>
      <c r="S19" s="706"/>
      <c r="T19" s="705"/>
      <c r="U19" s="706"/>
      <c r="V19" s="705"/>
      <c r="W19" s="706"/>
      <c r="X19" s="1355"/>
      <c r="Y19" s="3679"/>
      <c r="Z19" s="1356"/>
      <c r="AA19" s="1353">
        <v>1</v>
      </c>
      <c r="AB19" s="1353">
        <v>1</v>
      </c>
      <c r="AC19" s="1353">
        <v>1</v>
      </c>
    </row>
    <row r="20" spans="1:29" ht="99.75">
      <c r="A20" s="358"/>
      <c r="B20" s="579" t="s">
        <v>1834</v>
      </c>
      <c r="C20" s="1900" t="str">
        <f>IF(B1="工业",估价对象房地状况!G7,估价对象房地状况!C9)</f>
        <v>区域自然环境：京城森林公园、红领巾公园、二道沟等；人文环境；四季体育馆；综合评价环境状况较好。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79"/>
      <c r="Q21" s="1352"/>
      <c r="R21" s="705"/>
      <c r="S21" s="706"/>
      <c r="T21" s="705"/>
      <c r="U21" s="706"/>
      <c r="V21" s="705"/>
      <c r="W21" s="706"/>
      <c r="X21" s="1355"/>
      <c r="Y21" s="367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79"/>
      <c r="Q24" s="1352">
        <f t="shared" ref="Q24:Q36"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9.2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37"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8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83"/>
      <c r="Q27" s="707" t="str">
        <f t="shared" si="11"/>
        <v>项目停车位配比</v>
      </c>
      <c r="R27" s="708" t="s">
        <v>14</v>
      </c>
      <c r="S27" s="709">
        <f t="shared" si="12"/>
        <v>100</v>
      </c>
      <c r="T27" s="708" t="s">
        <v>14</v>
      </c>
      <c r="U27" s="709">
        <f t="shared" si="13"/>
        <v>100</v>
      </c>
      <c r="V27" s="708" t="s">
        <v>14</v>
      </c>
      <c r="W27" s="709">
        <f t="shared" si="14"/>
        <v>100</v>
      </c>
      <c r="X27" s="710"/>
      <c r="Y27" s="368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83"/>
      <c r="Q28" s="1352" t="str">
        <f t="shared" si="11"/>
        <v>公共部分装修</v>
      </c>
      <c r="R28" s="705" t="s">
        <v>14</v>
      </c>
      <c r="S28" s="706">
        <f t="shared" si="12"/>
        <v>100</v>
      </c>
      <c r="T28" s="705" t="s">
        <v>14</v>
      </c>
      <c r="U28" s="706">
        <f t="shared" si="13"/>
        <v>100</v>
      </c>
      <c r="V28" s="705" t="s">
        <v>14</v>
      </c>
      <c r="W28" s="706">
        <f t="shared" si="14"/>
        <v>100</v>
      </c>
      <c r="X28" s="1355"/>
      <c r="Y28" s="368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83"/>
      <c r="Q29" s="1352" t="str">
        <f t="shared" si="11"/>
        <v>成新率</v>
      </c>
      <c r="R29" s="705" t="s">
        <v>14</v>
      </c>
      <c r="S29" s="706" t="e">
        <f t="shared" si="12"/>
        <v>#N/A</v>
      </c>
      <c r="T29" s="705" t="s">
        <v>14</v>
      </c>
      <c r="U29" s="706" t="e">
        <f t="shared" si="13"/>
        <v>#N/A</v>
      </c>
      <c r="V29" s="705" t="s">
        <v>14</v>
      </c>
      <c r="W29" s="706" t="e">
        <f t="shared" si="14"/>
        <v>#N/A</v>
      </c>
      <c r="X29" s="1355"/>
      <c r="Y29" s="368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83"/>
      <c r="Q30" s="1352" t="str">
        <f t="shared" si="11"/>
        <v>物业等级</v>
      </c>
      <c r="R30" s="705" t="s">
        <v>14</v>
      </c>
      <c r="S30" s="706">
        <f t="shared" si="12"/>
        <v>100</v>
      </c>
      <c r="T30" s="705" t="s">
        <v>14</v>
      </c>
      <c r="U30" s="706">
        <f t="shared" si="13"/>
        <v>100</v>
      </c>
      <c r="V30" s="705" t="s">
        <v>14</v>
      </c>
      <c r="W30" s="706">
        <f t="shared" si="14"/>
        <v>100</v>
      </c>
      <c r="X30" s="1355"/>
      <c r="Y30" s="368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83"/>
      <c r="Q31" s="1343" t="str">
        <f t="shared" si="11"/>
        <v>停车位面积</v>
      </c>
      <c r="R31" s="701" t="s">
        <v>14</v>
      </c>
      <c r="S31" s="702" t="e">
        <f t="shared" si="12"/>
        <v>#N/A</v>
      </c>
      <c r="T31" s="701" t="s">
        <v>14</v>
      </c>
      <c r="U31" s="702" t="e">
        <f t="shared" si="13"/>
        <v>#N/A</v>
      </c>
      <c r="V31" s="701" t="s">
        <v>14</v>
      </c>
      <c r="W31" s="702" t="e">
        <f t="shared" si="14"/>
        <v>#N/A</v>
      </c>
      <c r="X31" s="703"/>
      <c r="Y31" s="368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83" t="s">
        <v>1696</v>
      </c>
      <c r="Q32" s="1352" t="str">
        <f t="shared" si="11"/>
        <v>车位类型</v>
      </c>
      <c r="R32" s="705" t="s">
        <v>14</v>
      </c>
      <c r="S32" s="706">
        <f t="shared" si="12"/>
        <v>100</v>
      </c>
      <c r="T32" s="705" t="s">
        <v>14</v>
      </c>
      <c r="U32" s="706">
        <f t="shared" si="13"/>
        <v>100</v>
      </c>
      <c r="V32" s="705" t="s">
        <v>14</v>
      </c>
      <c r="W32" s="706">
        <f t="shared" si="14"/>
        <v>100</v>
      </c>
      <c r="X32" s="1355"/>
      <c r="Y32" s="368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83"/>
      <c r="Q33" s="1352" t="str">
        <f t="shared" si="11"/>
        <v>是否直接入户</v>
      </c>
      <c r="R33" s="705" t="s">
        <v>14</v>
      </c>
      <c r="S33" s="706">
        <f t="shared" si="12"/>
        <v>100</v>
      </c>
      <c r="T33" s="705" t="s">
        <v>14</v>
      </c>
      <c r="U33" s="706">
        <f t="shared" si="13"/>
        <v>100</v>
      </c>
      <c r="V33" s="705" t="s">
        <v>14</v>
      </c>
      <c r="W33" s="706">
        <f t="shared" si="14"/>
        <v>100</v>
      </c>
      <c r="X33" s="1355"/>
      <c r="Y33" s="368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83"/>
      <c r="Q35" s="707">
        <f t="shared" si="11"/>
        <v>111</v>
      </c>
      <c r="R35" s="708" t="s">
        <v>14</v>
      </c>
      <c r="S35" s="709">
        <f t="shared" si="12"/>
        <v>100</v>
      </c>
      <c r="T35" s="708" t="s">
        <v>14</v>
      </c>
      <c r="U35" s="709">
        <f t="shared" si="13"/>
        <v>100</v>
      </c>
      <c r="V35" s="708" t="s">
        <v>14</v>
      </c>
      <c r="W35" s="709">
        <f t="shared" si="14"/>
        <v>100</v>
      </c>
      <c r="X35" s="710"/>
      <c r="Y35" s="368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83"/>
      <c r="Q36" s="1352">
        <f t="shared" si="11"/>
        <v>111</v>
      </c>
      <c r="R36" s="705" t="s">
        <v>14</v>
      </c>
      <c r="S36" s="706">
        <f t="shared" si="12"/>
        <v>100</v>
      </c>
      <c r="T36" s="705" t="s">
        <v>14</v>
      </c>
      <c r="U36" s="706">
        <f t="shared" si="13"/>
        <v>100</v>
      </c>
      <c r="V36" s="705" t="s">
        <v>14</v>
      </c>
      <c r="W36" s="706">
        <f t="shared" si="14"/>
        <v>100</v>
      </c>
      <c r="X36" s="1355"/>
      <c r="Y36" s="3683"/>
      <c r="Z36" s="1356">
        <f t="shared" si="15"/>
        <v>111</v>
      </c>
      <c r="AA36" s="1353">
        <f t="shared" si="3"/>
        <v>1</v>
      </c>
      <c r="AB36" s="1353">
        <f t="shared" si="4"/>
        <v>1</v>
      </c>
      <c r="AC36" s="1353">
        <f t="shared" si="5"/>
        <v>1</v>
      </c>
    </row>
    <row r="37" spans="1:29" ht="15">
      <c r="A37" s="430" t="s">
        <v>1844</v>
      </c>
      <c r="B37" s="1973" t="s">
        <v>3357</v>
      </c>
      <c r="C37" s="1154" t="s">
        <v>0</v>
      </c>
      <c r="D37" s="1155"/>
      <c r="E37" s="1156"/>
      <c r="F37" s="1157"/>
      <c r="G37" s="1158"/>
      <c r="H37" s="1159"/>
      <c r="I37" s="1156"/>
      <c r="J37" s="1159"/>
      <c r="K37" s="568"/>
      <c r="L37" s="2722"/>
      <c r="M37" s="2723"/>
      <c r="N37" s="2714"/>
      <c r="O37" s="2723"/>
      <c r="P37" s="3676" t="str">
        <f>A37</f>
        <v>成交单价</v>
      </c>
      <c r="Q37" s="3676"/>
      <c r="R37" s="3677">
        <f>E37</f>
        <v>0</v>
      </c>
      <c r="S37" s="3677"/>
      <c r="T37" s="3677">
        <f>G37</f>
        <v>0</v>
      </c>
      <c r="U37" s="3677"/>
      <c r="V37" s="3677">
        <f>I37</f>
        <v>0</v>
      </c>
      <c r="W37" s="367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76" t="str">
        <f>A38</f>
        <v>比较价值（元/平方米）</v>
      </c>
      <c r="Q38" s="3676"/>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73" t="str">
        <f>A39</f>
        <v>估价对象XX用房的比较价值（楼面单价，元/平方米）</v>
      </c>
      <c r="Q39" s="3674"/>
      <c r="R39" s="3738" t="e">
        <f>IF(F1="售价",ROUND(IF(D38="简单平均",AVERAGE(R38:W38),R38*F38+T38*H38+V38*J38),0),ROUND(IF(D38="简单平均",AVERAGE(R38:V38),R38*F38+T38*H38+V38*J38),1))</f>
        <v>#DIV/0!</v>
      </c>
      <c r="S39" s="3738"/>
      <c r="T39" s="3738"/>
      <c r="U39" s="3738"/>
      <c r="V39" s="3738"/>
      <c r="W39" s="3738"/>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xr:uid="{00000000-0002-0000-1E00-000000000000}">
      <formula1>项目类型</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G15 E15 C15 I15" xr:uid="{00000000-0002-0000-1E00-000002000000}">
      <formula1>交通便捷度</formula1>
    </dataValidation>
    <dataValidation type="list" allowBlank="1" showInputMessage="1" showErrorMessage="1" sqref="C8 E8 G8 I8" xr:uid="{00000000-0002-0000-1E00-000003000000}">
      <formula1>车位交易情况</formula1>
    </dataValidation>
    <dataValidation type="list" allowBlank="1" showInputMessage="1" showErrorMessage="1" sqref="E9 G9 I9" xr:uid="{00000000-0002-0000-1E00-000004000000}">
      <formula1>车位用途</formula1>
    </dataValidation>
    <dataValidation type="list" allowBlank="1" showInputMessage="1" showErrorMessage="1" sqref="C22 E22 G22 I22" xr:uid="{00000000-0002-0000-1E00-000005000000}">
      <formula1>车位楼层</formula1>
    </dataValidation>
    <dataValidation type="list" allowBlank="1" showInputMessage="1" showErrorMessage="1" sqref="C30 E30 G30 I30" xr:uid="{00000000-0002-0000-1E00-000006000000}">
      <formula1>车位物业等级</formula1>
    </dataValidation>
    <dataValidation type="list" allowBlank="1" showInputMessage="1" showErrorMessage="1" sqref="C32 E32 G32 I32" xr:uid="{00000000-0002-0000-1E00-000007000000}">
      <formula1>车位类型</formula1>
    </dataValidation>
    <dataValidation type="list" allowBlank="1" showInputMessage="1" showErrorMessage="1" sqref="C33 E33 G33 I33" xr:uid="{00000000-0002-0000-1E00-000008000000}">
      <formula1>是否直接入户</formula1>
    </dataValidation>
    <dataValidation type="list" allowBlank="1" showInputMessage="1" showErrorMessage="1" sqref="B1" xr:uid="{00000000-0002-0000-1E00-000009000000}">
      <formula1>地类判定</formula1>
    </dataValidation>
    <dataValidation type="list" allowBlank="1" showInputMessage="1" showErrorMessage="1" sqref="I26 E26 G26" xr:uid="{00000000-0002-0000-1E00-00000A000000}">
      <formula1>车位配套类型</formula1>
    </dataValidation>
    <dataValidation type="list" allowBlank="1" showInputMessage="1" showErrorMessage="1" sqref="C28 E28 G28 I28" xr:uid="{00000000-0002-0000-1E00-00000B000000}">
      <formula1>车位公共部分装修</formula1>
    </dataValidation>
    <dataValidation type="list" allowBlank="1" showInputMessage="1" showErrorMessage="1" sqref="B37" xr:uid="{00000000-0002-0000-1E00-00000C000000}">
      <formula1>"元/平方米,元/车位"</formula1>
    </dataValidation>
    <dataValidation type="list" allowBlank="1" showInputMessage="1" showErrorMessage="1" sqref="C21 E21 G21 I21" xr:uid="{00000000-0002-0000-1E00-00000D000000}">
      <formula1>环境</formula1>
    </dataValidation>
    <dataValidation type="list" allowBlank="1" showInputMessage="1" showErrorMessage="1" sqref="C19 E19 G19 I19" xr:uid="{00000000-0002-0000-1E00-00000E000000}">
      <formula1>基础设施水平</formula1>
    </dataValidation>
    <dataValidation type="list" allowBlank="1" showInputMessage="1" showErrorMessage="1" sqref="F1" xr:uid="{00000000-0002-0000-1E00-00000F000000}">
      <formula1>"售价,租金"</formula1>
    </dataValidation>
    <dataValidation type="list" allowBlank="1" showInputMessage="1" showErrorMessage="1" sqref="C2" xr:uid="{00000000-0002-0000-1E00-000010000000}">
      <formula1>"需扣减承租人权益,——"</formula1>
    </dataValidation>
    <dataValidation type="list" allowBlank="1" showInputMessage="1" showErrorMessage="1" sqref="F2" xr:uid="{00000000-0002-0000-1E00-000011000000}">
      <formula1>估价方法</formula1>
    </dataValidation>
    <dataValidation type="list" allowBlank="1" showInputMessage="1" showErrorMessage="1" sqref="D38" xr:uid="{00000000-0002-0000-1E00-000012000000}">
      <formula1>"简单平均,加权平均"</formula1>
    </dataValidation>
    <dataValidation type="list" allowBlank="1" showInputMessage="1" showErrorMessage="1" sqref="E1" xr:uid="{00000000-0002-0000-1E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3337</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12" t="s">
        <v>1680</v>
      </c>
      <c r="Q7" s="3714"/>
      <c r="R7" s="701" t="s">
        <v>14</v>
      </c>
      <c r="S7" s="702">
        <f t="shared" ref="S7:S14" si="0">F7</f>
        <v>0</v>
      </c>
      <c r="T7" s="701" t="s">
        <v>14</v>
      </c>
      <c r="U7" s="702">
        <f t="shared" ref="U7:U14" si="1">H7</f>
        <v>0</v>
      </c>
      <c r="V7" s="701" t="s">
        <v>14</v>
      </c>
      <c r="W7" s="702">
        <f t="shared" ref="W7:W14" si="2">J7</f>
        <v>0</v>
      </c>
      <c r="X7" s="703"/>
      <c r="Y7" s="3712" t="s">
        <v>1680</v>
      </c>
      <c r="Z7" s="371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12" t="s">
        <v>1683</v>
      </c>
      <c r="Q8" s="3713"/>
      <c r="R8" s="701" t="s">
        <v>14</v>
      </c>
      <c r="S8" s="702">
        <f t="shared" si="0"/>
        <v>100</v>
      </c>
      <c r="T8" s="701" t="s">
        <v>14</v>
      </c>
      <c r="U8" s="702">
        <f t="shared" si="1"/>
        <v>100</v>
      </c>
      <c r="V8" s="701" t="s">
        <v>14</v>
      </c>
      <c r="W8" s="702">
        <f t="shared" si="2"/>
        <v>100</v>
      </c>
      <c r="X8" s="703"/>
      <c r="Y8" s="3712" t="s">
        <v>1683</v>
      </c>
      <c r="Z8" s="371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76" t="s">
        <v>1686</v>
      </c>
      <c r="Q9" s="1343" t="str">
        <f t="shared" ref="Q9:Q14" si="6">B9</f>
        <v>用途</v>
      </c>
      <c r="R9" s="701" t="s">
        <v>14</v>
      </c>
      <c r="S9" s="702">
        <f t="shared" si="0"/>
        <v>100</v>
      </c>
      <c r="T9" s="701" t="s">
        <v>14</v>
      </c>
      <c r="U9" s="702">
        <f t="shared" si="1"/>
        <v>100</v>
      </c>
      <c r="V9" s="701" t="s">
        <v>14</v>
      </c>
      <c r="W9" s="702">
        <f t="shared" si="2"/>
        <v>100</v>
      </c>
      <c r="X9" s="703"/>
      <c r="Y9" s="355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76"/>
      <c r="Q10" s="1343" t="str">
        <f t="shared" si="6"/>
        <v>土地使用年限（年）</v>
      </c>
      <c r="R10" s="701" t="s">
        <v>14</v>
      </c>
      <c r="S10" s="702">
        <f t="shared" si="0"/>
        <v>100</v>
      </c>
      <c r="T10" s="701" t="s">
        <v>14</v>
      </c>
      <c r="U10" s="702">
        <f t="shared" si="1"/>
        <v>100</v>
      </c>
      <c r="V10" s="701" t="s">
        <v>14</v>
      </c>
      <c r="W10" s="702">
        <f t="shared" si="2"/>
        <v>100</v>
      </c>
      <c r="X10" s="703"/>
      <c r="Y10" s="355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76"/>
      <c r="Q11" s="1343">
        <f t="shared" si="6"/>
        <v>111</v>
      </c>
      <c r="R11" s="701" t="s">
        <v>14</v>
      </c>
      <c r="S11" s="702">
        <f t="shared" si="0"/>
        <v>100</v>
      </c>
      <c r="T11" s="701" t="s">
        <v>14</v>
      </c>
      <c r="U11" s="702">
        <f t="shared" si="1"/>
        <v>100</v>
      </c>
      <c r="V11" s="701" t="s">
        <v>14</v>
      </c>
      <c r="W11" s="702">
        <f t="shared" si="2"/>
        <v>100</v>
      </c>
      <c r="X11" s="703"/>
      <c r="Y11" s="355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28.25">
      <c r="A14" s="391" t="s">
        <v>1690</v>
      </c>
      <c r="B14" s="61" t="s">
        <v>1833</v>
      </c>
      <c r="C14" s="1971" t="str">
        <f>IF(B1="工业",估价对象房地状况!G4,估价对象房地状况!C6)</f>
        <v>估价对象周边有75路、126路、675路、682路、991路等多条公交线路，距地铁6号线（青年路站）约400米，综合评价交通便捷度较好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78" t="s">
        <v>1691</v>
      </c>
      <c r="Q14" s="1352" t="str">
        <f t="shared" si="6"/>
        <v>交通便捷度</v>
      </c>
      <c r="R14" s="705" t="s">
        <v>14</v>
      </c>
      <c r="S14" s="706">
        <f t="shared" si="0"/>
        <v>100</v>
      </c>
      <c r="T14" s="705" t="s">
        <v>14</v>
      </c>
      <c r="U14" s="706">
        <f t="shared" si="1"/>
        <v>100</v>
      </c>
      <c r="V14" s="705" t="s">
        <v>14</v>
      </c>
      <c r="W14" s="706">
        <f t="shared" si="2"/>
        <v>100</v>
      </c>
      <c r="X14" s="1355"/>
      <c r="Y14" s="367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79"/>
      <c r="Q15" s="1352"/>
      <c r="R15" s="705"/>
      <c r="S15" s="706"/>
      <c r="T15" s="705"/>
      <c r="U15" s="706"/>
      <c r="V15" s="705"/>
      <c r="W15" s="706"/>
      <c r="X15" s="1355"/>
      <c r="Y15" s="3679"/>
      <c r="Z15" s="1356"/>
      <c r="AA15" s="1353">
        <v>1</v>
      </c>
      <c r="AB15" s="1353">
        <v>1</v>
      </c>
      <c r="AC15" s="1353">
        <v>1</v>
      </c>
    </row>
    <row r="16" spans="1:29" ht="42.75">
      <c r="A16" s="379"/>
      <c r="B16" s="402" t="s">
        <v>1812</v>
      </c>
      <c r="C16" s="1900" t="str">
        <f>IF(B1="工业",估价对象房地状况!G5,估价对象房地状况!C7)</f>
        <v>估价对象所在区域公共配套设施齐备情况较好</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79"/>
      <c r="Q16" s="1352" t="str">
        <f>B16</f>
        <v>公共配套设施</v>
      </c>
      <c r="R16" s="705" t="s">
        <v>14</v>
      </c>
      <c r="S16" s="706">
        <f>F16</f>
        <v>100</v>
      </c>
      <c r="T16" s="705" t="s">
        <v>14</v>
      </c>
      <c r="U16" s="706">
        <f>H16</f>
        <v>100</v>
      </c>
      <c r="V16" s="705" t="s">
        <v>14</v>
      </c>
      <c r="W16" s="706">
        <f>J16</f>
        <v>100</v>
      </c>
      <c r="X16" s="1355"/>
      <c r="Y16" s="367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79"/>
      <c r="Q17" s="1352"/>
      <c r="R17" s="705"/>
      <c r="S17" s="706"/>
      <c r="T17" s="705"/>
      <c r="U17" s="706"/>
      <c r="V17" s="705"/>
      <c r="W17" s="706"/>
      <c r="X17" s="1355"/>
      <c r="Y17" s="3679"/>
      <c r="Z17" s="1356"/>
      <c r="AA17" s="1353">
        <v>1</v>
      </c>
      <c r="AB17" s="1353">
        <v>1</v>
      </c>
      <c r="AC17" s="1353">
        <v>1</v>
      </c>
    </row>
    <row r="18" spans="1:29" ht="42.75">
      <c r="A18" s="379"/>
      <c r="B18" s="1131" t="s">
        <v>1813</v>
      </c>
      <c r="C18" s="1900" t="str">
        <f>IF(B1="工业",估价对象房地状况!G6,估价对象房地状况!C8)</f>
        <v>估价对象所在区域基础设施水平达七通</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79"/>
      <c r="Q18" s="1352" t="str">
        <f>B18</f>
        <v>基础设施水平</v>
      </c>
      <c r="R18" s="705" t="s">
        <v>14</v>
      </c>
      <c r="S18" s="706">
        <f>F18</f>
        <v>100</v>
      </c>
      <c r="T18" s="705" t="s">
        <v>14</v>
      </c>
      <c r="U18" s="706">
        <f>H18</f>
        <v>100</v>
      </c>
      <c r="V18" s="705" t="s">
        <v>14</v>
      </c>
      <c r="W18" s="706">
        <f>J18</f>
        <v>100</v>
      </c>
      <c r="X18" s="1355"/>
      <c r="Y18" s="367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79"/>
      <c r="Q19" s="1352"/>
      <c r="R19" s="705"/>
      <c r="S19" s="706"/>
      <c r="T19" s="705"/>
      <c r="U19" s="706"/>
      <c r="V19" s="705"/>
      <c r="W19" s="706"/>
      <c r="X19" s="1355"/>
      <c r="Y19" s="3679"/>
      <c r="Z19" s="1356"/>
      <c r="AA19" s="1353">
        <v>1</v>
      </c>
      <c r="AB19" s="1353">
        <v>1</v>
      </c>
      <c r="AC19" s="1353">
        <v>1</v>
      </c>
    </row>
    <row r="20" spans="1:29" ht="99.75">
      <c r="A20" s="379"/>
      <c r="B20" s="402" t="s">
        <v>1834</v>
      </c>
      <c r="C20" s="1900" t="str">
        <f>IF(B1="工业",估价对象房地状况!G7,估价对象房地状况!C9)</f>
        <v>区域自然环境：京城森林公园、红领巾公园、二道沟等；人文环境；四季体育馆；综合评价环境状况较好。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79"/>
      <c r="Q20" s="1352" t="str">
        <f>B20</f>
        <v>自然及人文环境</v>
      </c>
      <c r="R20" s="705" t="s">
        <v>14</v>
      </c>
      <c r="S20" s="706">
        <f>F20</f>
        <v>100</v>
      </c>
      <c r="T20" s="705" t="s">
        <v>14</v>
      </c>
      <c r="U20" s="706">
        <f>H20</f>
        <v>100</v>
      </c>
      <c r="V20" s="705" t="s">
        <v>14</v>
      </c>
      <c r="W20" s="706">
        <f>J20</f>
        <v>100</v>
      </c>
      <c r="X20" s="1355"/>
      <c r="Y20" s="367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79"/>
      <c r="Q21" s="1352"/>
      <c r="R21" s="705"/>
      <c r="S21" s="706"/>
      <c r="T21" s="705"/>
      <c r="U21" s="706"/>
      <c r="V21" s="705"/>
      <c r="W21" s="706"/>
      <c r="X21" s="1355"/>
      <c r="Y21" s="367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79"/>
      <c r="Q22" s="1352" t="str">
        <f>B22</f>
        <v>楼层</v>
      </c>
      <c r="R22" s="705" t="s">
        <v>14</v>
      </c>
      <c r="S22" s="706">
        <f>F22</f>
        <v>100</v>
      </c>
      <c r="T22" s="705" t="s">
        <v>14</v>
      </c>
      <c r="U22" s="706">
        <f>H22</f>
        <v>100</v>
      </c>
      <c r="V22" s="705" t="s">
        <v>14</v>
      </c>
      <c r="W22" s="706">
        <f>J22</f>
        <v>100</v>
      </c>
      <c r="X22" s="1355"/>
      <c r="Y22" s="367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79"/>
      <c r="Q23" s="1352">
        <f>B23</f>
        <v>111</v>
      </c>
      <c r="R23" s="705" t="s">
        <v>14</v>
      </c>
      <c r="S23" s="706">
        <f>F23</f>
        <v>100</v>
      </c>
      <c r="T23" s="705" t="s">
        <v>14</v>
      </c>
      <c r="U23" s="706">
        <f>H23</f>
        <v>100</v>
      </c>
      <c r="V23" s="705" t="s">
        <v>14</v>
      </c>
      <c r="W23" s="706">
        <f>J23</f>
        <v>100</v>
      </c>
      <c r="X23" s="1355"/>
      <c r="Y23" s="367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79"/>
      <c r="Q24" s="1352">
        <f t="shared" ref="Q24:Q34" si="11">B24</f>
        <v>111</v>
      </c>
      <c r="R24" s="705" t="s">
        <v>14</v>
      </c>
      <c r="S24" s="706">
        <f>F24</f>
        <v>100</v>
      </c>
      <c r="T24" s="705" t="s">
        <v>14</v>
      </c>
      <c r="U24" s="706">
        <f>H24</f>
        <v>100</v>
      </c>
      <c r="V24" s="705" t="s">
        <v>14</v>
      </c>
      <c r="W24" s="706">
        <f>J24</f>
        <v>100</v>
      </c>
      <c r="X24" s="1355"/>
      <c r="Y24" s="367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79"/>
      <c r="Q25" s="1343">
        <f t="shared" si="11"/>
        <v>111</v>
      </c>
      <c r="R25" s="701" t="s">
        <v>14</v>
      </c>
      <c r="S25" s="702">
        <f>F25</f>
        <v>100</v>
      </c>
      <c r="T25" s="701" t="s">
        <v>14</v>
      </c>
      <c r="U25" s="702">
        <f>H25</f>
        <v>100</v>
      </c>
      <c r="V25" s="701" t="s">
        <v>14</v>
      </c>
      <c r="W25" s="702">
        <f>J25</f>
        <v>100</v>
      </c>
      <c r="X25" s="703"/>
      <c r="Y25" s="3679"/>
      <c r="Z25" s="52">
        <f>Q25</f>
        <v>111</v>
      </c>
      <c r="AA25" s="1353">
        <f>D25/F25</f>
        <v>1</v>
      </c>
      <c r="AB25" s="1353">
        <f>D25/H25</f>
        <v>1</v>
      </c>
      <c r="AC25" s="1353">
        <f>D25/J25</f>
        <v>1</v>
      </c>
    </row>
    <row r="26" spans="1:29" ht="29.2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37"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8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83"/>
      <c r="Q27" s="707" t="str">
        <f t="shared" si="11"/>
        <v>成新率</v>
      </c>
      <c r="R27" s="708" t="s">
        <v>14</v>
      </c>
      <c r="S27" s="709" t="e">
        <f t="shared" si="12"/>
        <v>#N/A</v>
      </c>
      <c r="T27" s="708" t="s">
        <v>14</v>
      </c>
      <c r="U27" s="709" t="e">
        <f t="shared" si="13"/>
        <v>#N/A</v>
      </c>
      <c r="V27" s="708" t="s">
        <v>14</v>
      </c>
      <c r="W27" s="709" t="e">
        <f t="shared" si="14"/>
        <v>#N/A</v>
      </c>
      <c r="X27" s="710"/>
      <c r="Y27" s="368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83"/>
      <c r="Q28" s="1352" t="str">
        <f t="shared" si="11"/>
        <v>物业等级</v>
      </c>
      <c r="R28" s="705" t="s">
        <v>14</v>
      </c>
      <c r="S28" s="706">
        <f t="shared" si="12"/>
        <v>100</v>
      </c>
      <c r="T28" s="705" t="s">
        <v>14</v>
      </c>
      <c r="U28" s="706">
        <f t="shared" si="13"/>
        <v>100</v>
      </c>
      <c r="V28" s="705" t="s">
        <v>14</v>
      </c>
      <c r="W28" s="706">
        <f t="shared" si="14"/>
        <v>100</v>
      </c>
      <c r="X28" s="1355"/>
      <c r="Y28" s="368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83"/>
      <c r="Q29" s="1352" t="str">
        <f t="shared" si="11"/>
        <v>有无电梯</v>
      </c>
      <c r="R29" s="705" t="s">
        <v>14</v>
      </c>
      <c r="S29" s="706">
        <f t="shared" si="12"/>
        <v>100</v>
      </c>
      <c r="T29" s="705" t="s">
        <v>14</v>
      </c>
      <c r="U29" s="706">
        <f t="shared" si="13"/>
        <v>100</v>
      </c>
      <c r="V29" s="705" t="s">
        <v>14</v>
      </c>
      <c r="W29" s="706">
        <f t="shared" si="14"/>
        <v>100</v>
      </c>
      <c r="X29" s="1355"/>
      <c r="Y29" s="368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83"/>
      <c r="Q30" s="1352" t="str">
        <f t="shared" si="11"/>
        <v>建筑面积</v>
      </c>
      <c r="R30" s="705" t="s">
        <v>14</v>
      </c>
      <c r="S30" s="706" t="e">
        <f t="shared" si="12"/>
        <v>#N/A</v>
      </c>
      <c r="T30" s="705" t="s">
        <v>14</v>
      </c>
      <c r="U30" s="706" t="e">
        <f t="shared" si="13"/>
        <v>#N/A</v>
      </c>
      <c r="V30" s="705" t="s">
        <v>14</v>
      </c>
      <c r="W30" s="706" t="e">
        <f t="shared" si="14"/>
        <v>#N/A</v>
      </c>
      <c r="X30" s="1355"/>
      <c r="Y30" s="368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83"/>
      <c r="Q31" s="1343" t="str">
        <f t="shared" si="11"/>
        <v>是否封闭</v>
      </c>
      <c r="R31" s="701" t="s">
        <v>14</v>
      </c>
      <c r="S31" s="702">
        <f t="shared" si="12"/>
        <v>100</v>
      </c>
      <c r="T31" s="701" t="s">
        <v>14</v>
      </c>
      <c r="U31" s="702">
        <f t="shared" si="13"/>
        <v>100</v>
      </c>
      <c r="V31" s="701" t="s">
        <v>14</v>
      </c>
      <c r="W31" s="702">
        <f t="shared" si="14"/>
        <v>100</v>
      </c>
      <c r="X31" s="703"/>
      <c r="Y31" s="368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83" t="s">
        <v>1696</v>
      </c>
      <c r="Q32" s="1352">
        <f t="shared" si="11"/>
        <v>111</v>
      </c>
      <c r="R32" s="705" t="s">
        <v>14</v>
      </c>
      <c r="S32" s="706">
        <f t="shared" si="12"/>
        <v>100</v>
      </c>
      <c r="T32" s="705" t="s">
        <v>14</v>
      </c>
      <c r="U32" s="706">
        <f t="shared" si="13"/>
        <v>100</v>
      </c>
      <c r="V32" s="705" t="s">
        <v>14</v>
      </c>
      <c r="W32" s="706">
        <f t="shared" si="14"/>
        <v>100</v>
      </c>
      <c r="X32" s="1355"/>
      <c r="Y32" s="368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83"/>
      <c r="Q33" s="1352">
        <f t="shared" si="11"/>
        <v>111</v>
      </c>
      <c r="R33" s="705" t="s">
        <v>14</v>
      </c>
      <c r="S33" s="706">
        <f t="shared" si="12"/>
        <v>100</v>
      </c>
      <c r="T33" s="705" t="s">
        <v>14</v>
      </c>
      <c r="U33" s="706">
        <f t="shared" si="13"/>
        <v>100</v>
      </c>
      <c r="V33" s="705" t="s">
        <v>14</v>
      </c>
      <c r="W33" s="706">
        <f t="shared" si="14"/>
        <v>100</v>
      </c>
      <c r="X33" s="1355"/>
      <c r="Y33" s="368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83"/>
      <c r="Q34" s="1352">
        <f t="shared" si="11"/>
        <v>111</v>
      </c>
      <c r="R34" s="705" t="s">
        <v>14</v>
      </c>
      <c r="S34" s="706">
        <f t="shared" si="12"/>
        <v>100</v>
      </c>
      <c r="T34" s="705" t="s">
        <v>14</v>
      </c>
      <c r="U34" s="706">
        <f t="shared" si="13"/>
        <v>100</v>
      </c>
      <c r="V34" s="705" t="s">
        <v>14</v>
      </c>
      <c r="W34" s="706">
        <f t="shared" si="14"/>
        <v>100</v>
      </c>
      <c r="X34" s="1355"/>
      <c r="Y34" s="368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76" t="str">
        <f>A35</f>
        <v>成交单价（元/平方米）</v>
      </c>
      <c r="Q35" s="3676"/>
      <c r="R35" s="3677">
        <f>E35</f>
        <v>0</v>
      </c>
      <c r="S35" s="3677"/>
      <c r="T35" s="3677">
        <f>G35</f>
        <v>0</v>
      </c>
      <c r="U35" s="3677"/>
      <c r="V35" s="3677">
        <f>I35</f>
        <v>0</v>
      </c>
      <c r="W35" s="367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76" t="str">
        <f>A36</f>
        <v>比较价值（元/平方米）</v>
      </c>
      <c r="Q36" s="3676"/>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73" t="str">
        <f>A37</f>
        <v>估价对象XX用房的比较价值（楼面单价，元/平方米）</v>
      </c>
      <c r="Q37" s="3674"/>
      <c r="R37" s="3738" t="e">
        <f>IF(F1="售价",ROUND(IF(D36="简单平均",AVERAGE(R36:W36),R36*F36+T36*H36+V36*J36),0),ROUND(IF(D36="简单平均",AVERAGE(R36:V36),R36*F36+T36*H36+V36*J36),1))</f>
        <v>#DIV/0!</v>
      </c>
      <c r="S37" s="3738"/>
      <c r="T37" s="3738"/>
      <c r="U37" s="3738"/>
      <c r="V37" s="3738"/>
      <c r="W37" s="3738"/>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xr:uid="{00000000-0002-0000-1F00-000000000000}">
      <formula1>交通便捷度</formula1>
    </dataValidation>
    <dataValidation type="list" allowBlank="1" showInputMessage="1" showErrorMessage="1" sqref="G17 C17 E17 I17" xr:uid="{00000000-0002-0000-1F00-000001000000}">
      <formula1>公共配套设施</formula1>
    </dataValidation>
    <dataValidation type="list" allowBlank="1" showInputMessage="1" showErrorMessage="1" sqref="D1" xr:uid="{00000000-0002-0000-1F00-000002000000}">
      <formula1>项目类型</formula1>
    </dataValidation>
    <dataValidation type="list" allowBlank="1" showInputMessage="1" showErrorMessage="1" sqref="C8 E8 G8 I8" xr:uid="{00000000-0002-0000-1F00-000003000000}">
      <formula1>仓储交易情况</formula1>
    </dataValidation>
    <dataValidation type="list" allowBlank="1" showInputMessage="1" showErrorMessage="1" sqref="E9 G9 I9" xr:uid="{00000000-0002-0000-1F00-000004000000}">
      <formula1>仓储用途</formula1>
    </dataValidation>
    <dataValidation type="list" allowBlank="1" showInputMessage="1" showErrorMessage="1" sqref="C21 E21 G21 I21" xr:uid="{00000000-0002-0000-1F00-000005000000}">
      <formula1>环境</formula1>
    </dataValidation>
    <dataValidation type="list" allowBlank="1" showInputMessage="1" showErrorMessage="1" sqref="C22 E22 G22 I22" xr:uid="{00000000-0002-0000-1F00-000006000000}">
      <formula1>仓储楼层</formula1>
    </dataValidation>
    <dataValidation type="list" allowBlank="1" showInputMessage="1" showErrorMessage="1" sqref="C26 E26 G26 I26" xr:uid="{00000000-0002-0000-1F00-000007000000}">
      <formula1>仓储公共部分装修</formula1>
    </dataValidation>
    <dataValidation type="list" allowBlank="1" showInputMessage="1" showErrorMessage="1" sqref="C29 E29 G29 I29" xr:uid="{00000000-0002-0000-1F00-000008000000}">
      <formula1>有无电梯</formula1>
    </dataValidation>
    <dataValidation type="list" allowBlank="1" showInputMessage="1" showErrorMessage="1" sqref="C31 E31 G31 I31" xr:uid="{00000000-0002-0000-1F00-000009000000}">
      <formula1>是否封闭</formula1>
    </dataValidation>
    <dataValidation type="list" allowBlank="1" showInputMessage="1" showErrorMessage="1" sqref="B1" xr:uid="{00000000-0002-0000-1F00-00000A000000}">
      <formula1>地类判定</formula1>
    </dataValidation>
    <dataValidation type="list" allowBlank="1" showInputMessage="1" showErrorMessage="1" sqref="C28 E28 G28 I28" xr:uid="{00000000-0002-0000-1F00-00000B000000}">
      <formula1>仓储物业等级</formula1>
    </dataValidation>
    <dataValidation type="list" allowBlank="1" showInputMessage="1" showErrorMessage="1" sqref="C19 E19 G19 I19" xr:uid="{00000000-0002-0000-1F00-00000C000000}">
      <formula1>基础设施水平</formula1>
    </dataValidation>
    <dataValidation type="list" allowBlank="1" showInputMessage="1" showErrorMessage="1" sqref="F1" xr:uid="{00000000-0002-0000-1F00-00000D000000}">
      <formula1>"售价,租金"</formula1>
    </dataValidation>
    <dataValidation type="list" allowBlank="1" showInputMessage="1" showErrorMessage="1" sqref="C2" xr:uid="{00000000-0002-0000-1F00-00000E000000}">
      <formula1>"需扣减承租人权益,——"</formula1>
    </dataValidation>
    <dataValidation type="list" allowBlank="1" showInputMessage="1" showErrorMessage="1" sqref="F2" xr:uid="{00000000-0002-0000-1F00-00000F000000}">
      <formula1>估价方法</formula1>
    </dataValidation>
    <dataValidation type="list" allowBlank="1" showInputMessage="1" showErrorMessage="1" sqref="D36" xr:uid="{00000000-0002-0000-1F00-000010000000}">
      <formula1>"简单平均,加权平均"</formula1>
    </dataValidation>
    <dataValidation type="list" allowBlank="1" showInputMessage="1" showErrorMessage="1" sqref="E1" xr:uid="{00000000-0002-0000-1F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5">
    <tabColor rgb="FF92D050"/>
    <pageSetUpPr fitToPage="1"/>
  </sheetPr>
  <dimension ref="A1:AD131"/>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30"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30" ht="15.75" thickBot="1">
      <c r="A6" s="360"/>
      <c r="B6" s="361"/>
      <c r="C6" s="3708" t="s">
        <v>1677</v>
      </c>
      <c r="D6" s="3709"/>
      <c r="E6" s="3720" t="s">
        <v>1677</v>
      </c>
      <c r="F6" s="3716"/>
      <c r="G6" s="3708" t="s">
        <v>1677</v>
      </c>
      <c r="H6" s="3709"/>
      <c r="I6" s="3708" t="s">
        <v>1677</v>
      </c>
      <c r="J6" s="3709"/>
      <c r="K6" s="559" t="s">
        <v>1678</v>
      </c>
      <c r="L6" s="2713"/>
      <c r="M6" s="2714"/>
      <c r="N6" s="2714"/>
      <c r="O6" s="2714"/>
      <c r="P6" s="3699"/>
      <c r="Q6" s="3700"/>
      <c r="R6" s="3703"/>
      <c r="S6" s="3704"/>
      <c r="T6" s="3705"/>
      <c r="U6" s="3706"/>
      <c r="V6" s="3707"/>
      <c r="W6" s="3707"/>
      <c r="X6" s="1355"/>
      <c r="Y6" s="3705"/>
      <c r="Z6" s="3706"/>
      <c r="AA6" s="3690"/>
      <c r="AB6" s="3690"/>
      <c r="AC6" s="3690"/>
    </row>
    <row r="7" spans="1:30" s="108" customFormat="1" ht="15.75" thickBot="1">
      <c r="A7" s="362" t="s">
        <v>1679</v>
      </c>
      <c r="B7" s="363"/>
      <c r="C7" s="364">
        <f>'数据-取费表'!B2</f>
        <v>45153</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109</v>
      </c>
      <c r="G10" s="414"/>
      <c r="H10" s="127">
        <f>ROUND(100/'数据-取费表'!G16,0)</f>
        <v>109</v>
      </c>
      <c r="I10" s="414"/>
      <c r="J10" s="127">
        <f>ROUND(100/'数据-取费表'!G16,0)</f>
        <v>109</v>
      </c>
      <c r="K10" s="620"/>
      <c r="L10" s="2717"/>
      <c r="M10" s="2718"/>
      <c r="N10" s="2718"/>
      <c r="O10" s="2771"/>
      <c r="P10" s="3676"/>
      <c r="Q10" s="1343" t="str">
        <f t="shared" si="6"/>
        <v>土地使用年限（年）</v>
      </c>
      <c r="R10" s="701" t="s">
        <v>14</v>
      </c>
      <c r="S10" s="702">
        <f t="shared" si="0"/>
        <v>109</v>
      </c>
      <c r="T10" s="701" t="s">
        <v>14</v>
      </c>
      <c r="U10" s="702">
        <f t="shared" si="1"/>
        <v>109</v>
      </c>
      <c r="V10" s="701" t="s">
        <v>14</v>
      </c>
      <c r="W10" s="702">
        <f t="shared" si="2"/>
        <v>109</v>
      </c>
      <c r="X10" s="703"/>
      <c r="Y10" s="3551"/>
      <c r="Z10" s="52" t="str">
        <f t="shared" si="7"/>
        <v>土地使用年限（年）</v>
      </c>
      <c r="AA10" s="704">
        <f t="shared" si="3"/>
        <v>0.91743119266055051</v>
      </c>
      <c r="AB10" s="704">
        <f t="shared" si="4"/>
        <v>0.91743119266055051</v>
      </c>
      <c r="AC10" s="704">
        <f t="shared" si="5"/>
        <v>0.91743119266055051</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76"/>
      <c r="Q12" s="1343" t="str">
        <f t="shared" si="6"/>
        <v>配建</v>
      </c>
      <c r="R12" s="701" t="s">
        <v>14</v>
      </c>
      <c r="S12" s="702">
        <f t="shared" si="0"/>
        <v>100</v>
      </c>
      <c r="T12" s="701" t="s">
        <v>14</v>
      </c>
      <c r="U12" s="702">
        <f t="shared" si="1"/>
        <v>100</v>
      </c>
      <c r="V12" s="701" t="s">
        <v>14</v>
      </c>
      <c r="W12" s="702">
        <f t="shared" si="2"/>
        <v>100</v>
      </c>
      <c r="X12" s="703"/>
      <c r="Y12" s="355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D14/F14</f>
        <v>1</v>
      </c>
      <c r="AB14" s="704">
        <f>D14/H14</f>
        <v>1</v>
      </c>
      <c r="AC14" s="704">
        <f>D14/J14</f>
        <v>1</v>
      </c>
    </row>
    <row r="15" spans="1:30" ht="142.5">
      <c r="A15" s="391" t="s">
        <v>1690</v>
      </c>
      <c r="B15" s="61" t="s">
        <v>1257</v>
      </c>
      <c r="C15" s="1896" t="str">
        <f>估价对象房地状况!C15</f>
        <v>估价对象周边有润枫水尚、华纺易城、国美第一城、晨光家园、甘露园南里等居住小区，小区规模和社区发展完善程度较高，综合评价居住社区成熟度较好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78" t="s">
        <v>1691</v>
      </c>
      <c r="Q15" s="1352" t="str">
        <f t="shared" si="6"/>
        <v>居住社区成熟度</v>
      </c>
      <c r="R15" s="705" t="s">
        <v>14</v>
      </c>
      <c r="S15" s="706">
        <f t="shared" si="0"/>
        <v>100</v>
      </c>
      <c r="T15" s="705" t="s">
        <v>14</v>
      </c>
      <c r="U15" s="706">
        <f t="shared" si="1"/>
        <v>100</v>
      </c>
      <c r="V15" s="705" t="s">
        <v>14</v>
      </c>
      <c r="W15" s="706">
        <f t="shared" si="2"/>
        <v>100</v>
      </c>
      <c r="X15" s="1355"/>
      <c r="Y15" s="367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79"/>
      <c r="Q17" s="1352" t="str">
        <f>B17</f>
        <v>商业繁华度</v>
      </c>
      <c r="R17" s="705" t="s">
        <v>14</v>
      </c>
      <c r="S17" s="706">
        <f>F17</f>
        <v>100</v>
      </c>
      <c r="T17" s="705" t="s">
        <v>14</v>
      </c>
      <c r="U17" s="706">
        <f>H17</f>
        <v>100</v>
      </c>
      <c r="V17" s="705" t="s">
        <v>14</v>
      </c>
      <c r="W17" s="706">
        <f>J17</f>
        <v>100</v>
      </c>
      <c r="X17" s="1355"/>
      <c r="Y17" s="367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79"/>
      <c r="Q19" s="1352" t="str">
        <f>B19</f>
        <v>办公集聚程度</v>
      </c>
      <c r="R19" s="705" t="s">
        <v>14</v>
      </c>
      <c r="S19" s="706">
        <f>F19</f>
        <v>100</v>
      </c>
      <c r="T19" s="705" t="s">
        <v>14</v>
      </c>
      <c r="U19" s="706">
        <f>H19</f>
        <v>100</v>
      </c>
      <c r="V19" s="705" t="s">
        <v>14</v>
      </c>
      <c r="W19" s="706">
        <f>J19</f>
        <v>100</v>
      </c>
      <c r="X19" s="1355"/>
      <c r="Y19" s="367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79"/>
      <c r="Q20" s="1352"/>
      <c r="R20" s="705"/>
      <c r="S20" s="706"/>
      <c r="T20" s="705"/>
      <c r="U20" s="706"/>
      <c r="V20" s="705"/>
      <c r="W20" s="706"/>
      <c r="X20" s="1355"/>
      <c r="Y20" s="3679"/>
      <c r="Z20" s="1356"/>
      <c r="AA20" s="1353">
        <v>1</v>
      </c>
      <c r="AB20" s="1353">
        <v>1</v>
      </c>
      <c r="AC20" s="1353">
        <v>1</v>
      </c>
    </row>
    <row r="21" spans="1:29" ht="128.25">
      <c r="A21" s="379"/>
      <c r="B21" s="402" t="s">
        <v>1833</v>
      </c>
      <c r="C21" s="1900" t="str">
        <f>估价对象房地状况!C18</f>
        <v>估价对象周边有75路、126路、675路、682路、991路等多条公交线路，距地铁6号线（青年路站）约400米，综合评价交通便捷度较好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79"/>
      <c r="Q21" s="1352" t="str">
        <f>B21</f>
        <v>交通便捷度</v>
      </c>
      <c r="R21" s="705" t="s">
        <v>14</v>
      </c>
      <c r="S21" s="706">
        <f>F21</f>
        <v>100</v>
      </c>
      <c r="T21" s="705" t="s">
        <v>14</v>
      </c>
      <c r="U21" s="706">
        <f>H21</f>
        <v>100</v>
      </c>
      <c r="V21" s="705" t="s">
        <v>14</v>
      </c>
      <c r="W21" s="706">
        <f>J21</f>
        <v>100</v>
      </c>
      <c r="X21" s="1355"/>
      <c r="Y21" s="367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79"/>
      <c r="Q23" s="1352" t="str">
        <f t="shared" ref="Q23:Q37" si="8">B23</f>
        <v>区域土地利用方向</v>
      </c>
      <c r="R23" s="705" t="s">
        <v>14</v>
      </c>
      <c r="S23" s="706">
        <f>F23</f>
        <v>100</v>
      </c>
      <c r="T23" s="705" t="s">
        <v>14</v>
      </c>
      <c r="U23" s="706">
        <f>H23</f>
        <v>100</v>
      </c>
      <c r="V23" s="705" t="s">
        <v>14</v>
      </c>
      <c r="W23" s="706">
        <f>J23</f>
        <v>100</v>
      </c>
      <c r="X23" s="1355"/>
      <c r="Y23" s="367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79"/>
      <c r="Q24" s="1352"/>
      <c r="R24" s="705"/>
      <c r="S24" s="706"/>
      <c r="T24" s="705"/>
      <c r="U24" s="706"/>
      <c r="V24" s="705"/>
      <c r="W24" s="706"/>
      <c r="X24" s="1355"/>
      <c r="Y24" s="3679"/>
      <c r="Z24" s="1356"/>
      <c r="AA24" s="1353"/>
      <c r="AB24" s="1353"/>
      <c r="AC24" s="1353"/>
    </row>
    <row r="25" spans="1:29" ht="99.75">
      <c r="A25" s="358"/>
      <c r="B25" s="1131" t="s">
        <v>1872</v>
      </c>
      <c r="C25" s="1955" t="str">
        <f>估价对象房地状况!C20</f>
        <v>区域自然环境：京城森林公园、红领巾公园、二道沟等；人文环境；四季体育馆；综合评价环境状况较好。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79"/>
      <c r="Q25" s="1352" t="str">
        <f t="shared" si="8"/>
        <v>自然及人文环境状况</v>
      </c>
      <c r="R25" s="705" t="s">
        <v>14</v>
      </c>
      <c r="S25" s="706">
        <f>F25</f>
        <v>100</v>
      </c>
      <c r="T25" s="705" t="s">
        <v>14</v>
      </c>
      <c r="U25" s="706">
        <f>H25</f>
        <v>100</v>
      </c>
      <c r="V25" s="705" t="s">
        <v>14</v>
      </c>
      <c r="W25" s="706">
        <f>J25</f>
        <v>100</v>
      </c>
      <c r="X25" s="1355"/>
      <c r="Y25" s="367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79"/>
      <c r="Q26" s="1352"/>
      <c r="R26" s="705"/>
      <c r="S26" s="706"/>
      <c r="T26" s="705"/>
      <c r="U26" s="706"/>
      <c r="V26" s="705"/>
      <c r="W26" s="706"/>
      <c r="X26" s="1355"/>
      <c r="Y26" s="3679"/>
      <c r="Z26" s="1356"/>
      <c r="AA26" s="1353">
        <v>1</v>
      </c>
      <c r="AB26" s="1353">
        <v>1</v>
      </c>
      <c r="AC26" s="1353">
        <v>1</v>
      </c>
    </row>
    <row r="27" spans="1:29" s="108" customFormat="1" ht="42.75">
      <c r="A27" s="597"/>
      <c r="B27" s="1131" t="s">
        <v>1778</v>
      </c>
      <c r="C27" s="1900" t="str">
        <f>估价对象房地状况!C21</f>
        <v>估价对象所在区域公共配套设施齐备情况较好</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79"/>
      <c r="Q27" s="1343" t="str">
        <f t="shared" si="8"/>
        <v>公共配套设施</v>
      </c>
      <c r="R27" s="701" t="s">
        <v>14</v>
      </c>
      <c r="S27" s="702">
        <f>F27</f>
        <v>100</v>
      </c>
      <c r="T27" s="701" t="s">
        <v>14</v>
      </c>
      <c r="U27" s="702">
        <f>H27</f>
        <v>100</v>
      </c>
      <c r="V27" s="701" t="s">
        <v>14</v>
      </c>
      <c r="W27" s="702">
        <f>J27</f>
        <v>100</v>
      </c>
      <c r="X27" s="703"/>
      <c r="Y27" s="367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79"/>
      <c r="Q28" s="1343"/>
      <c r="R28" s="701"/>
      <c r="S28" s="702"/>
      <c r="T28" s="701"/>
      <c r="U28" s="702"/>
      <c r="V28" s="701"/>
      <c r="W28" s="702"/>
      <c r="X28" s="703"/>
      <c r="Y28" s="3679"/>
      <c r="Z28" s="52"/>
      <c r="AA28" s="1353">
        <v>1</v>
      </c>
      <c r="AB28" s="1353">
        <v>1</v>
      </c>
      <c r="AC28" s="1353">
        <v>1</v>
      </c>
    </row>
    <row r="29" spans="1:29" s="108" customFormat="1" ht="42.75">
      <c r="A29" s="597"/>
      <c r="B29" s="1131" t="s">
        <v>1779</v>
      </c>
      <c r="C29" s="1900" t="str">
        <f>估价对象房地状况!C22</f>
        <v>估价对象所在区域基础设施水平达七通</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79"/>
      <c r="Q29" s="1343" t="str">
        <f t="shared" ref="Q29" si="9">B29</f>
        <v>基础设施水平</v>
      </c>
      <c r="R29" s="701" t="s">
        <v>14</v>
      </c>
      <c r="S29" s="702">
        <f>F29</f>
        <v>100</v>
      </c>
      <c r="T29" s="701" t="s">
        <v>14</v>
      </c>
      <c r="U29" s="702">
        <f>H29</f>
        <v>100</v>
      </c>
      <c r="V29" s="701" t="s">
        <v>14</v>
      </c>
      <c r="W29" s="702">
        <f>J29</f>
        <v>100</v>
      </c>
      <c r="X29" s="703"/>
      <c r="Y29" s="367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79"/>
      <c r="Q30" s="1343"/>
      <c r="R30" s="701"/>
      <c r="S30" s="702"/>
      <c r="T30" s="701"/>
      <c r="U30" s="702"/>
      <c r="V30" s="701"/>
      <c r="W30" s="702"/>
      <c r="X30" s="703"/>
      <c r="Y30" s="367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7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7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79"/>
      <c r="Q32" s="1352" t="str">
        <f t="shared" si="8"/>
        <v>毗邻道路的类型与等级</v>
      </c>
      <c r="R32" s="705" t="s">
        <v>14</v>
      </c>
      <c r="S32" s="706">
        <f t="shared" si="10"/>
        <v>100</v>
      </c>
      <c r="T32" s="705" t="s">
        <v>14</v>
      </c>
      <c r="U32" s="706">
        <f t="shared" si="11"/>
        <v>100</v>
      </c>
      <c r="V32" s="705" t="s">
        <v>14</v>
      </c>
      <c r="W32" s="706">
        <f t="shared" si="12"/>
        <v>100</v>
      </c>
      <c r="X32" s="1355"/>
      <c r="Y32" s="367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79"/>
      <c r="Q33" s="1352"/>
      <c r="R33" s="705"/>
      <c r="S33" s="706"/>
      <c r="T33" s="705"/>
      <c r="U33" s="706"/>
      <c r="V33" s="705"/>
      <c r="W33" s="706"/>
      <c r="X33" s="1355"/>
      <c r="Y33" s="367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79"/>
      <c r="Q34" s="1352" t="str">
        <f t="shared" si="8"/>
        <v>土地级别</v>
      </c>
      <c r="R34" s="705" t="s">
        <v>14</v>
      </c>
      <c r="S34" s="706">
        <f t="shared" si="10"/>
        <v>100</v>
      </c>
      <c r="T34" s="705" t="s">
        <v>14</v>
      </c>
      <c r="U34" s="706">
        <f t="shared" si="11"/>
        <v>100</v>
      </c>
      <c r="V34" s="705" t="s">
        <v>14</v>
      </c>
      <c r="W34" s="706">
        <f t="shared" si="12"/>
        <v>100</v>
      </c>
      <c r="X34" s="1355"/>
      <c r="Y34" s="367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79"/>
      <c r="Q35" s="1352">
        <f t="shared" si="8"/>
        <v>111</v>
      </c>
      <c r="R35" s="705" t="s">
        <v>14</v>
      </c>
      <c r="S35" s="706">
        <f t="shared" si="10"/>
        <v>100</v>
      </c>
      <c r="T35" s="705" t="s">
        <v>14</v>
      </c>
      <c r="U35" s="706">
        <f t="shared" si="11"/>
        <v>100</v>
      </c>
      <c r="V35" s="705" t="s">
        <v>14</v>
      </c>
      <c r="W35" s="706">
        <f t="shared" si="12"/>
        <v>100</v>
      </c>
      <c r="X35" s="1355"/>
      <c r="Y35" s="367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37" t="s">
        <v>1696</v>
      </c>
      <c r="Q36" s="1352">
        <f t="shared" si="8"/>
        <v>111</v>
      </c>
      <c r="R36" s="705" t="s">
        <v>14</v>
      </c>
      <c r="S36" s="706">
        <f t="shared" si="10"/>
        <v>100</v>
      </c>
      <c r="T36" s="705" t="s">
        <v>14</v>
      </c>
      <c r="U36" s="706">
        <f t="shared" si="11"/>
        <v>100</v>
      </c>
      <c r="V36" s="705" t="s">
        <v>14</v>
      </c>
      <c r="W36" s="706">
        <f t="shared" si="12"/>
        <v>100</v>
      </c>
      <c r="X36" s="1355"/>
      <c r="Y36" s="368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83"/>
      <c r="Q37" s="1352">
        <f t="shared" si="8"/>
        <v>111</v>
      </c>
      <c r="R37" s="708" t="s">
        <v>14</v>
      </c>
      <c r="S37" s="709">
        <f t="shared" si="10"/>
        <v>100</v>
      </c>
      <c r="T37" s="708" t="s">
        <v>14</v>
      </c>
      <c r="U37" s="709">
        <f t="shared" si="11"/>
        <v>100</v>
      </c>
      <c r="V37" s="708" t="s">
        <v>14</v>
      </c>
      <c r="W37" s="709">
        <f t="shared" si="12"/>
        <v>100</v>
      </c>
      <c r="X37" s="710"/>
      <c r="Y37" s="368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83"/>
      <c r="Q38" s="1352" t="str">
        <f>B38</f>
        <v>宗地面积</v>
      </c>
      <c r="R38" s="705" t="s">
        <v>14</v>
      </c>
      <c r="S38" s="706" t="e">
        <f t="shared" si="10"/>
        <v>#N/A</v>
      </c>
      <c r="T38" s="705" t="s">
        <v>14</v>
      </c>
      <c r="U38" s="706" t="e">
        <f t="shared" si="11"/>
        <v>#N/A</v>
      </c>
      <c r="V38" s="705" t="s">
        <v>14</v>
      </c>
      <c r="W38" s="706" t="e">
        <f t="shared" si="12"/>
        <v>#N/A</v>
      </c>
      <c r="X38" s="1355"/>
      <c r="Y38" s="368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83"/>
      <c r="Q39" s="1352" t="str">
        <f t="shared" ref="Q39:Q45" si="14">B39</f>
        <v>宗地形状</v>
      </c>
      <c r="R39" s="705" t="s">
        <v>14</v>
      </c>
      <c r="S39" s="706">
        <f t="shared" si="10"/>
        <v>100</v>
      </c>
      <c r="T39" s="705" t="s">
        <v>14</v>
      </c>
      <c r="U39" s="706">
        <f t="shared" si="11"/>
        <v>100</v>
      </c>
      <c r="V39" s="705" t="s">
        <v>14</v>
      </c>
      <c r="W39" s="706">
        <f t="shared" si="12"/>
        <v>100</v>
      </c>
      <c r="X39" s="1355"/>
      <c r="Y39" s="368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83"/>
      <c r="Q40" s="1352" t="str">
        <f t="shared" si="14"/>
        <v>临街宽度及深度</v>
      </c>
      <c r="R40" s="705" t="s">
        <v>14</v>
      </c>
      <c r="S40" s="706">
        <f t="shared" si="10"/>
        <v>100</v>
      </c>
      <c r="T40" s="705" t="s">
        <v>14</v>
      </c>
      <c r="U40" s="706">
        <f t="shared" si="11"/>
        <v>100</v>
      </c>
      <c r="V40" s="705" t="s">
        <v>14</v>
      </c>
      <c r="W40" s="706">
        <f t="shared" si="12"/>
        <v>100</v>
      </c>
      <c r="X40" s="1355"/>
      <c r="Y40" s="368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83"/>
      <c r="Q41" s="1352" t="str">
        <f t="shared" si="14"/>
        <v>宗地开发程度</v>
      </c>
      <c r="R41" s="701" t="s">
        <v>14</v>
      </c>
      <c r="S41" s="702">
        <f t="shared" si="10"/>
        <v>100</v>
      </c>
      <c r="T41" s="701" t="s">
        <v>14</v>
      </c>
      <c r="U41" s="702">
        <f t="shared" si="11"/>
        <v>100</v>
      </c>
      <c r="V41" s="701" t="s">
        <v>14</v>
      </c>
      <c r="W41" s="702">
        <f t="shared" si="12"/>
        <v>100</v>
      </c>
      <c r="X41" s="703"/>
      <c r="Y41" s="368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83" t="s">
        <v>1696</v>
      </c>
      <c r="Q42" s="1352" t="str">
        <f t="shared" si="14"/>
        <v>工程地质条件</v>
      </c>
      <c r="R42" s="705" t="s">
        <v>14</v>
      </c>
      <c r="S42" s="706">
        <f t="shared" si="10"/>
        <v>100</v>
      </c>
      <c r="T42" s="705" t="s">
        <v>14</v>
      </c>
      <c r="U42" s="706">
        <f t="shared" si="11"/>
        <v>100</v>
      </c>
      <c r="V42" s="705" t="s">
        <v>14</v>
      </c>
      <c r="W42" s="706">
        <f t="shared" si="12"/>
        <v>100</v>
      </c>
      <c r="X42" s="1355"/>
      <c r="Y42" s="368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83"/>
      <c r="Q43" s="1352">
        <f t="shared" si="14"/>
        <v>111</v>
      </c>
      <c r="R43" s="705" t="s">
        <v>14</v>
      </c>
      <c r="S43" s="706">
        <f t="shared" si="10"/>
        <v>100</v>
      </c>
      <c r="T43" s="705" t="s">
        <v>14</v>
      </c>
      <c r="U43" s="706">
        <f t="shared" si="11"/>
        <v>100</v>
      </c>
      <c r="V43" s="705" t="s">
        <v>14</v>
      </c>
      <c r="W43" s="706">
        <f t="shared" si="12"/>
        <v>100</v>
      </c>
      <c r="X43" s="1355"/>
      <c r="Y43" s="368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83"/>
      <c r="Q44" s="1352">
        <f t="shared" si="14"/>
        <v>111</v>
      </c>
      <c r="R44" s="705" t="s">
        <v>14</v>
      </c>
      <c r="S44" s="706">
        <f t="shared" si="10"/>
        <v>100</v>
      </c>
      <c r="T44" s="705" t="s">
        <v>14</v>
      </c>
      <c r="U44" s="706">
        <f t="shared" si="11"/>
        <v>100</v>
      </c>
      <c r="V44" s="705" t="s">
        <v>14</v>
      </c>
      <c r="W44" s="706">
        <f t="shared" si="12"/>
        <v>100</v>
      </c>
      <c r="X44" s="1355"/>
      <c r="Y44" s="368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83"/>
      <c r="Q45" s="1352">
        <f t="shared" si="14"/>
        <v>111</v>
      </c>
      <c r="R45" s="708" t="s">
        <v>14</v>
      </c>
      <c r="S45" s="709">
        <f t="shared" si="10"/>
        <v>100</v>
      </c>
      <c r="T45" s="708" t="s">
        <v>14</v>
      </c>
      <c r="U45" s="709">
        <f t="shared" si="11"/>
        <v>100</v>
      </c>
      <c r="V45" s="708" t="s">
        <v>14</v>
      </c>
      <c r="W45" s="709">
        <f t="shared" si="12"/>
        <v>100</v>
      </c>
      <c r="X45" s="710"/>
      <c r="Y45" s="368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76" t="str">
        <f>A46</f>
        <v>成交单价</v>
      </c>
      <c r="Q46" s="3676"/>
      <c r="R46" s="3707">
        <f>E46</f>
        <v>0</v>
      </c>
      <c r="S46" s="3707"/>
      <c r="T46" s="3707">
        <f>G46</f>
        <v>0</v>
      </c>
      <c r="U46" s="3707"/>
      <c r="V46" s="3707">
        <f>I46</f>
        <v>0</v>
      </c>
      <c r="W46" s="370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76" t="str">
        <f>A47</f>
        <v>比较价值（元/平方米）</v>
      </c>
      <c r="Q47" s="3676"/>
      <c r="R47" s="3739" t="e">
        <f>ROUND(PRODUCT(R46,AA7:AA45),0)</f>
        <v>#DIV/0!</v>
      </c>
      <c r="S47" s="3739"/>
      <c r="T47" s="3739" t="e">
        <f>ROUND(PRODUCT(T46,AB7:AB45),0)</f>
        <v>#DIV/0!</v>
      </c>
      <c r="U47" s="3739"/>
      <c r="V47" s="3739" t="e">
        <f>ROUND(PRODUCT(V46,AC7:AC45),0)</f>
        <v>#DIV/0!</v>
      </c>
      <c r="W47" s="3739"/>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73" t="str">
        <f>A48</f>
        <v>估价对象XX用房的比较价值（楼面单价，元/平方米）</v>
      </c>
      <c r="Q48" s="3674"/>
      <c r="R48" s="3740" t="e">
        <f>ROUND(IF(D47="简单平均",AVERAGE(R47:W47),R47*F47+T47*H47+V47*J47),0)</f>
        <v>#DIV/0!</v>
      </c>
      <c r="S48" s="3740"/>
      <c r="T48" s="3740"/>
      <c r="U48" s="3740"/>
      <c r="V48" s="3740"/>
      <c r="W48" s="3740"/>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91" t="s">
        <v>1887</v>
      </c>
      <c r="H55" s="3741"/>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162.94</v>
      </c>
      <c r="F56" s="886" t="e">
        <f t="shared" ref="F56:F64" si="15">ROUND(B56*E56/10000,0)</f>
        <v>#DIV/0!</v>
      </c>
      <c r="G56" s="3687"/>
      <c r="H56" s="367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162.94</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xr:uid="{00000000-0002-0000-2000-000000000000}">
      <formula1>住宅朝向</formula1>
    </dataValidation>
    <dataValidation type="list" allowBlank="1" showInputMessage="1" showErrorMessage="1" sqref="E28 C28 G28 I28" xr:uid="{00000000-0002-0000-2000-000001000000}">
      <formula1>公共配套设施</formula1>
    </dataValidation>
    <dataValidation type="list" allowBlank="1" showInputMessage="1" showErrorMessage="1" sqref="E22 C22 G22 I22" xr:uid="{00000000-0002-0000-2000-000002000000}">
      <formula1>交通便捷度</formula1>
    </dataValidation>
    <dataValidation type="list" allowBlank="1" showInputMessage="1" showErrorMessage="1" sqref="E16 G16 I16 C16" xr:uid="{00000000-0002-0000-2000-000003000000}">
      <formula1>居住社区成熟度</formula1>
    </dataValidation>
    <dataValidation type="list" allowBlank="1" showInputMessage="1" showErrorMessage="1" sqref="C26 E26 G26 I26" xr:uid="{00000000-0002-0000-2000-000004000000}">
      <formula1>环境</formula1>
    </dataValidation>
    <dataValidation type="list" allowBlank="1" showInputMessage="1" showErrorMessage="1" sqref="B46" xr:uid="{00000000-0002-0000-2000-000005000000}">
      <formula1>单价内涵</formula1>
    </dataValidation>
    <dataValidation type="list" allowBlank="1" showInputMessage="1" showErrorMessage="1" sqref="C8 E8 G8 I8" xr:uid="{00000000-0002-0000-2000-000006000000}">
      <formula1>套综交易情况</formula1>
    </dataValidation>
    <dataValidation type="list" allowBlank="1" showInputMessage="1" showErrorMessage="1" sqref="C9 E9 G9 I9" xr:uid="{00000000-0002-0000-2000-000007000000}">
      <formula1>套综用途</formula1>
    </dataValidation>
    <dataValidation type="list" allowBlank="1" showInputMessage="1" showErrorMessage="1" sqref="E18 C18 G18 I18" xr:uid="{00000000-0002-0000-2000-000008000000}">
      <formula1>商业繁华度</formula1>
    </dataValidation>
    <dataValidation type="list" allowBlank="1" showInputMessage="1" showErrorMessage="1" sqref="E20 C20 G20 I20" xr:uid="{00000000-0002-0000-2000-000009000000}">
      <formula1>办公集聚程度</formula1>
    </dataValidation>
    <dataValidation type="list" allowBlank="1" showInputMessage="1" showErrorMessage="1" sqref="C33 E33 G33 I33" xr:uid="{00000000-0002-0000-2000-00000A000000}">
      <formula1>套综道路等级</formula1>
    </dataValidation>
    <dataValidation type="list" allowBlank="1" showInputMessage="1" showErrorMessage="1" sqref="C34 E34 G34 I34" xr:uid="{00000000-0002-0000-2000-00000B000000}">
      <formula1>套综土地级别</formula1>
    </dataValidation>
    <dataValidation type="list" allowBlank="1" showInputMessage="1" showErrorMessage="1" sqref="C39 E39 G39 I39" xr:uid="{00000000-0002-0000-2000-00000C000000}">
      <formula1>套综宗地形状</formula1>
    </dataValidation>
    <dataValidation type="list" allowBlank="1" showInputMessage="1" showErrorMessage="1" sqref="C40 E40 G40 I40" xr:uid="{00000000-0002-0000-2000-00000D000000}">
      <formula1>套综临街宽度及深度</formula1>
    </dataValidation>
    <dataValidation type="list" allowBlank="1" showInputMessage="1" showErrorMessage="1" sqref="C41 E41 G41 I41" xr:uid="{00000000-0002-0000-2000-00000E000000}">
      <formula1>套综宗地内开发程度</formula1>
    </dataValidation>
    <dataValidation type="list" allowBlank="1" showInputMessage="1" showErrorMessage="1" sqref="C42 E42 G42 I42" xr:uid="{00000000-0002-0000-2000-00000F000000}">
      <formula1>套综工程地质条件</formula1>
    </dataValidation>
    <dataValidation type="list" allowBlank="1" showInputMessage="1" showErrorMessage="1" sqref="C31 E31 G31 I31" xr:uid="{00000000-0002-0000-2000-000010000000}">
      <formula1>临街状况</formula1>
    </dataValidation>
    <dataValidation type="list" allowBlank="1" showInputMessage="1" showErrorMessage="1" sqref="E24 G24 I24 C24" xr:uid="{00000000-0002-0000-2000-000011000000}">
      <formula1>区域土地利用方向</formula1>
    </dataValidation>
    <dataValidation type="list" allowBlank="1" showInputMessage="1" showErrorMessage="1" sqref="C55" xr:uid="{00000000-0002-0000-2000-000012000000}">
      <formula1>"北京市系数,其他省市系数"</formula1>
    </dataValidation>
    <dataValidation type="list" allowBlank="1" showInputMessage="1" showErrorMessage="1" sqref="G61" xr:uid="{00000000-0002-0000-2000-000013000000}">
      <formula1>"商业,办公,住宅,工业"</formula1>
    </dataValidation>
    <dataValidation type="list" allowBlank="1" showInputMessage="1" showErrorMessage="1" sqref="G62" xr:uid="{00000000-0002-0000-2000-000014000000}">
      <formula1>"住宅,工业"</formula1>
    </dataValidation>
    <dataValidation type="list" allowBlank="1" showInputMessage="1" showErrorMessage="1" sqref="C30 E30 G30 I30" xr:uid="{00000000-0002-0000-2000-000015000000}">
      <formula1>基础设施水平</formula1>
    </dataValidation>
    <dataValidation type="list" allowBlank="1" showInputMessage="1" showErrorMessage="1" sqref="A70" xr:uid="{00000000-0002-0000-2000-000016000000}">
      <formula1>"综合,商业,办公,住宅"</formula1>
    </dataValidation>
    <dataValidation type="list" allowBlank="1" showInputMessage="1" showErrorMessage="1" sqref="D47" xr:uid="{00000000-0002-0000-2000-000017000000}">
      <formula1>"简单平均,加权平均"</formula1>
    </dataValidation>
    <dataValidation type="list" allowBlank="1" showInputMessage="1" showErrorMessage="1" sqref="D57:D64" xr:uid="{00000000-0002-0000-2000-000018000000}">
      <formula1>"25%,1"</formula1>
    </dataValidation>
  </dataValidations>
  <pageMargins left="0.70866141732283472" right="0.70866141732283472" top="1.0629921259842521" bottom="0.94488188976377963" header="0.31496062992125984" footer="0.31496062992125984"/>
  <pageSetup paperSize="9" scale="45"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91" t="s">
        <v>1770</v>
      </c>
      <c r="D4" s="3692"/>
      <c r="E4" s="3693" t="s">
        <v>1771</v>
      </c>
      <c r="F4" s="3694"/>
      <c r="G4" s="3691" t="s">
        <v>1772</v>
      </c>
      <c r="H4" s="3692"/>
      <c r="I4" s="3691" t="s">
        <v>1773</v>
      </c>
      <c r="J4" s="3692"/>
      <c r="K4" s="559" t="s">
        <v>1774</v>
      </c>
      <c r="L4" s="2713"/>
      <c r="M4" s="2714"/>
      <c r="N4" s="2714"/>
      <c r="O4" s="2714"/>
      <c r="P4" s="3695" t="s">
        <v>1775</v>
      </c>
      <c r="Q4" s="3696"/>
      <c r="R4" s="3701" t="s">
        <v>1771</v>
      </c>
      <c r="S4" s="3702"/>
      <c r="T4" s="3701" t="s">
        <v>1772</v>
      </c>
      <c r="U4" s="3702"/>
      <c r="V4" s="3707" t="s">
        <v>1773</v>
      </c>
      <c r="W4" s="3707"/>
      <c r="X4" s="1355"/>
      <c r="Y4" s="3701" t="s">
        <v>1775</v>
      </c>
      <c r="Z4" s="3702"/>
      <c r="AA4" s="3688" t="s">
        <v>1771</v>
      </c>
      <c r="AB4" s="3689" t="s">
        <v>1772</v>
      </c>
      <c r="AC4" s="3688" t="s">
        <v>1773</v>
      </c>
    </row>
    <row r="5" spans="1:29" ht="15">
      <c r="A5" s="358"/>
      <c r="B5" s="359"/>
      <c r="C5" s="3719" t="s">
        <v>1673</v>
      </c>
      <c r="D5" s="3711"/>
      <c r="E5" s="3721" t="s">
        <v>1674</v>
      </c>
      <c r="F5" s="3718"/>
      <c r="G5" s="3719" t="s">
        <v>1675</v>
      </c>
      <c r="H5" s="3711"/>
      <c r="I5" s="3719" t="s">
        <v>1676</v>
      </c>
      <c r="J5" s="3711"/>
      <c r="K5" s="559"/>
      <c r="L5" s="2713"/>
      <c r="M5" s="2714"/>
      <c r="N5" s="2714"/>
      <c r="O5" s="2714"/>
      <c r="P5" s="3697"/>
      <c r="Q5" s="3698"/>
      <c r="R5" s="3703"/>
      <c r="S5" s="3704"/>
      <c r="T5" s="3703"/>
      <c r="U5" s="3704"/>
      <c r="V5" s="3707"/>
      <c r="W5" s="3707"/>
      <c r="X5" s="1355"/>
      <c r="Y5" s="3703"/>
      <c r="Z5" s="3704"/>
      <c r="AA5" s="3689"/>
      <c r="AB5" s="3689"/>
      <c r="AC5" s="3689"/>
    </row>
    <row r="6" spans="1:29" ht="15.75" thickBot="1">
      <c r="A6" s="360"/>
      <c r="B6" s="361"/>
      <c r="C6" s="3742" t="s">
        <v>1919</v>
      </c>
      <c r="D6" s="3743"/>
      <c r="E6" s="3744" t="s">
        <v>1919</v>
      </c>
      <c r="F6" s="3745"/>
      <c r="G6" s="3742" t="s">
        <v>1919</v>
      </c>
      <c r="H6" s="3743"/>
      <c r="I6" s="3742" t="s">
        <v>1919</v>
      </c>
      <c r="J6" s="3743"/>
      <c r="K6" s="559" t="s">
        <v>1678</v>
      </c>
      <c r="L6" s="2713"/>
      <c r="M6" s="2714"/>
      <c r="N6" s="2714"/>
      <c r="O6" s="2714"/>
      <c r="P6" s="3699"/>
      <c r="Q6" s="3700"/>
      <c r="R6" s="3703"/>
      <c r="S6" s="3704"/>
      <c r="T6" s="3705"/>
      <c r="U6" s="3706"/>
      <c r="V6" s="3707"/>
      <c r="W6" s="3707"/>
      <c r="X6" s="1355"/>
      <c r="Y6" s="3705"/>
      <c r="Z6" s="3706"/>
      <c r="AA6" s="3690"/>
      <c r="AB6" s="3690"/>
      <c r="AC6" s="3690"/>
    </row>
    <row r="7" spans="1:29" s="108" customFormat="1" ht="15.75" thickBot="1">
      <c r="A7" s="362" t="s">
        <v>1679</v>
      </c>
      <c r="B7" s="363"/>
      <c r="C7" s="364">
        <f>'数据-取费表'!B2</f>
        <v>45153</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12" t="s">
        <v>1680</v>
      </c>
      <c r="Q7" s="3714"/>
      <c r="R7" s="701" t="s">
        <v>14</v>
      </c>
      <c r="S7" s="702">
        <f t="shared" ref="S7:S15" si="0">F7</f>
        <v>0</v>
      </c>
      <c r="T7" s="701" t="s">
        <v>14</v>
      </c>
      <c r="U7" s="702">
        <f t="shared" ref="U7:U15" si="1">H7</f>
        <v>0</v>
      </c>
      <c r="V7" s="701" t="s">
        <v>14</v>
      </c>
      <c r="W7" s="702">
        <f t="shared" ref="W7:W15" si="2">J7</f>
        <v>0</v>
      </c>
      <c r="X7" s="703"/>
      <c r="Y7" s="3712" t="s">
        <v>1680</v>
      </c>
      <c r="Z7" s="371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12" t="s">
        <v>1683</v>
      </c>
      <c r="Q8" s="3713"/>
      <c r="R8" s="701" t="s">
        <v>14</v>
      </c>
      <c r="S8" s="702">
        <f t="shared" si="0"/>
        <v>0</v>
      </c>
      <c r="T8" s="701" t="s">
        <v>14</v>
      </c>
      <c r="U8" s="702">
        <f t="shared" si="1"/>
        <v>0</v>
      </c>
      <c r="V8" s="701" t="s">
        <v>14</v>
      </c>
      <c r="W8" s="702">
        <f t="shared" si="2"/>
        <v>0</v>
      </c>
      <c r="X8" s="703"/>
      <c r="Y8" s="3712" t="s">
        <v>1683</v>
      </c>
      <c r="Z8" s="371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76" t="s">
        <v>1686</v>
      </c>
      <c r="Q9" s="1343" t="str">
        <f t="shared" ref="Q9:Q15" si="6">B9</f>
        <v>用途</v>
      </c>
      <c r="R9" s="701" t="s">
        <v>14</v>
      </c>
      <c r="S9" s="702">
        <f t="shared" si="0"/>
        <v>100</v>
      </c>
      <c r="T9" s="701" t="s">
        <v>14</v>
      </c>
      <c r="U9" s="702">
        <f t="shared" si="1"/>
        <v>100</v>
      </c>
      <c r="V9" s="701" t="s">
        <v>14</v>
      </c>
      <c r="W9" s="702">
        <f t="shared" si="2"/>
        <v>100</v>
      </c>
      <c r="X9" s="703"/>
      <c r="Y9" s="355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109</v>
      </c>
      <c r="G10" s="383"/>
      <c r="H10" s="127">
        <f>ROUND(100/'数据-取费表'!G16,0)</f>
        <v>109</v>
      </c>
      <c r="I10" s="383"/>
      <c r="J10" s="127">
        <f>ROUND(100/'数据-取费表'!G16,0)</f>
        <v>109</v>
      </c>
      <c r="K10" s="620"/>
      <c r="L10" s="2717"/>
      <c r="M10" s="2718"/>
      <c r="N10" s="2718"/>
      <c r="O10" s="2771"/>
      <c r="P10" s="3676"/>
      <c r="Q10" s="1343" t="str">
        <f t="shared" si="6"/>
        <v>土地使用年限（年）</v>
      </c>
      <c r="R10" s="701" t="s">
        <v>14</v>
      </c>
      <c r="S10" s="702">
        <f t="shared" si="0"/>
        <v>109</v>
      </c>
      <c r="T10" s="701" t="s">
        <v>14</v>
      </c>
      <c r="U10" s="702">
        <f t="shared" si="1"/>
        <v>109</v>
      </c>
      <c r="V10" s="701" t="s">
        <v>14</v>
      </c>
      <c r="W10" s="702">
        <f t="shared" si="2"/>
        <v>109</v>
      </c>
      <c r="X10" s="703"/>
      <c r="Y10" s="3551"/>
      <c r="Z10" s="52" t="str">
        <f t="shared" si="7"/>
        <v>土地使用年限（年）</v>
      </c>
      <c r="AA10" s="704">
        <f t="shared" si="3"/>
        <v>0.91743119266055051</v>
      </c>
      <c r="AB10" s="704">
        <f t="shared" si="4"/>
        <v>0.91743119266055051</v>
      </c>
      <c r="AC10" s="704">
        <f t="shared" si="5"/>
        <v>0.91743119266055051</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76"/>
      <c r="Q11" s="1343" t="str">
        <f t="shared" si="6"/>
        <v>容积率</v>
      </c>
      <c r="R11" s="701" t="s">
        <v>14</v>
      </c>
      <c r="S11" s="702" t="e">
        <f t="shared" si="0"/>
        <v>#N/A</v>
      </c>
      <c r="T11" s="701" t="s">
        <v>14</v>
      </c>
      <c r="U11" s="702" t="e">
        <f t="shared" si="1"/>
        <v>#N/A</v>
      </c>
      <c r="V11" s="701" t="s">
        <v>14</v>
      </c>
      <c r="W11" s="702" t="e">
        <f t="shared" si="2"/>
        <v>#N/A</v>
      </c>
      <c r="X11" s="703"/>
      <c r="Y11" s="355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76"/>
      <c r="Q12" s="1343">
        <f t="shared" si="6"/>
        <v>111</v>
      </c>
      <c r="R12" s="701" t="s">
        <v>14</v>
      </c>
      <c r="S12" s="702">
        <f t="shared" si="0"/>
        <v>100</v>
      </c>
      <c r="T12" s="701" t="s">
        <v>14</v>
      </c>
      <c r="U12" s="702">
        <f t="shared" si="1"/>
        <v>100</v>
      </c>
      <c r="V12" s="701" t="s">
        <v>14</v>
      </c>
      <c r="W12" s="702">
        <f t="shared" si="2"/>
        <v>100</v>
      </c>
      <c r="X12" s="703"/>
      <c r="Y12" s="355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76"/>
      <c r="Q13" s="1343">
        <f t="shared" si="6"/>
        <v>111</v>
      </c>
      <c r="R13" s="701" t="s">
        <v>14</v>
      </c>
      <c r="S13" s="702">
        <f t="shared" si="0"/>
        <v>100</v>
      </c>
      <c r="T13" s="701" t="s">
        <v>14</v>
      </c>
      <c r="U13" s="702">
        <f t="shared" si="1"/>
        <v>100</v>
      </c>
      <c r="V13" s="701" t="s">
        <v>14</v>
      </c>
      <c r="W13" s="702">
        <f t="shared" si="2"/>
        <v>100</v>
      </c>
      <c r="X13" s="703"/>
      <c r="Y13" s="355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76"/>
      <c r="Q14" s="1343">
        <f t="shared" si="6"/>
        <v>111</v>
      </c>
      <c r="R14" s="701" t="s">
        <v>14</v>
      </c>
      <c r="S14" s="702">
        <f t="shared" si="0"/>
        <v>100</v>
      </c>
      <c r="T14" s="701" t="s">
        <v>14</v>
      </c>
      <c r="U14" s="702">
        <f t="shared" si="1"/>
        <v>100</v>
      </c>
      <c r="V14" s="701" t="s">
        <v>14</v>
      </c>
      <c r="W14" s="702">
        <f t="shared" si="2"/>
        <v>100</v>
      </c>
      <c r="X14" s="703"/>
      <c r="Y14" s="355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78" t="s">
        <v>1691</v>
      </c>
      <c r="Q15" s="1352" t="str">
        <f t="shared" si="6"/>
        <v>产业集聚程度</v>
      </c>
      <c r="R15" s="705" t="s">
        <v>14</v>
      </c>
      <c r="S15" s="706">
        <f t="shared" si="0"/>
        <v>100</v>
      </c>
      <c r="T15" s="705" t="s">
        <v>14</v>
      </c>
      <c r="U15" s="706">
        <f t="shared" si="1"/>
        <v>100</v>
      </c>
      <c r="V15" s="705" t="s">
        <v>14</v>
      </c>
      <c r="W15" s="706">
        <f t="shared" si="2"/>
        <v>100</v>
      </c>
      <c r="X15" s="1355"/>
      <c r="Y15" s="367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79"/>
      <c r="Q16" s="1352"/>
      <c r="R16" s="705"/>
      <c r="S16" s="706"/>
      <c r="T16" s="705"/>
      <c r="U16" s="706"/>
      <c r="V16" s="705"/>
      <c r="W16" s="706"/>
      <c r="X16" s="1355"/>
      <c r="Y16" s="367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79"/>
      <c r="Q17" s="1352" t="str">
        <f>B17</f>
        <v>交通便捷度</v>
      </c>
      <c r="R17" s="705" t="s">
        <v>14</v>
      </c>
      <c r="S17" s="706">
        <f>F17</f>
        <v>100</v>
      </c>
      <c r="T17" s="705" t="s">
        <v>14</v>
      </c>
      <c r="U17" s="706">
        <f>H17</f>
        <v>100</v>
      </c>
      <c r="V17" s="705" t="s">
        <v>14</v>
      </c>
      <c r="W17" s="706">
        <f>J17</f>
        <v>100</v>
      </c>
      <c r="X17" s="1355"/>
      <c r="Y17" s="367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79"/>
      <c r="Q18" s="1352"/>
      <c r="R18" s="705"/>
      <c r="S18" s="706"/>
      <c r="T18" s="705"/>
      <c r="U18" s="706"/>
      <c r="V18" s="705"/>
      <c r="W18" s="706"/>
      <c r="X18" s="1355"/>
      <c r="Y18" s="367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79"/>
      <c r="Q19" s="1352" t="str">
        <f t="shared" ref="Q19:Q33" si="8">B19</f>
        <v>区域土地利用方向</v>
      </c>
      <c r="R19" s="705" t="s">
        <v>14</v>
      </c>
      <c r="S19" s="706">
        <f>F19</f>
        <v>100</v>
      </c>
      <c r="T19" s="705" t="s">
        <v>14</v>
      </c>
      <c r="U19" s="706">
        <f>H19</f>
        <v>100</v>
      </c>
      <c r="V19" s="705" t="s">
        <v>14</v>
      </c>
      <c r="W19" s="706">
        <f>J19</f>
        <v>100</v>
      </c>
      <c r="X19" s="1355"/>
      <c r="Y19" s="367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79"/>
      <c r="Q20" s="1352"/>
      <c r="R20" s="705"/>
      <c r="S20" s="706"/>
      <c r="T20" s="705"/>
      <c r="U20" s="706"/>
      <c r="V20" s="705"/>
      <c r="W20" s="706"/>
      <c r="X20" s="1355"/>
      <c r="Y20" s="367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79"/>
      <c r="Q21" s="1352" t="str">
        <f t="shared" si="8"/>
        <v>环境状况</v>
      </c>
      <c r="R21" s="705" t="s">
        <v>14</v>
      </c>
      <c r="S21" s="706">
        <f>F21</f>
        <v>100</v>
      </c>
      <c r="T21" s="705" t="s">
        <v>14</v>
      </c>
      <c r="U21" s="706">
        <f>H21</f>
        <v>100</v>
      </c>
      <c r="V21" s="705" t="s">
        <v>14</v>
      </c>
      <c r="W21" s="706">
        <f>J21</f>
        <v>100</v>
      </c>
      <c r="X21" s="1355"/>
      <c r="Y21" s="367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79"/>
      <c r="Q22" s="1352"/>
      <c r="R22" s="705"/>
      <c r="S22" s="706"/>
      <c r="T22" s="705"/>
      <c r="U22" s="706"/>
      <c r="V22" s="705"/>
      <c r="W22" s="706"/>
      <c r="X22" s="1355"/>
      <c r="Y22" s="367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79"/>
      <c r="Q23" s="1343" t="str">
        <f t="shared" si="8"/>
        <v>公共配套设施</v>
      </c>
      <c r="R23" s="701" t="s">
        <v>14</v>
      </c>
      <c r="S23" s="702">
        <f>F23</f>
        <v>100</v>
      </c>
      <c r="T23" s="701" t="s">
        <v>14</v>
      </c>
      <c r="U23" s="702">
        <f>H23</f>
        <v>100</v>
      </c>
      <c r="V23" s="701" t="s">
        <v>14</v>
      </c>
      <c r="W23" s="702">
        <f>J23</f>
        <v>100</v>
      </c>
      <c r="X23" s="703"/>
      <c r="Y23" s="367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79"/>
      <c r="Q24" s="1343"/>
      <c r="R24" s="701"/>
      <c r="S24" s="702"/>
      <c r="T24" s="701"/>
      <c r="U24" s="702"/>
      <c r="V24" s="701"/>
      <c r="W24" s="702"/>
      <c r="X24" s="703"/>
      <c r="Y24" s="367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79"/>
      <c r="Q25" s="1343" t="str">
        <f t="shared" ref="Q25" si="9">B25</f>
        <v>基础设施水平</v>
      </c>
      <c r="R25" s="701" t="s">
        <v>14</v>
      </c>
      <c r="S25" s="702">
        <f>F25</f>
        <v>100</v>
      </c>
      <c r="T25" s="701" t="s">
        <v>14</v>
      </c>
      <c r="U25" s="702">
        <f>H25</f>
        <v>100</v>
      </c>
      <c r="V25" s="701" t="s">
        <v>14</v>
      </c>
      <c r="W25" s="702">
        <f>J25</f>
        <v>100</v>
      </c>
      <c r="X25" s="703"/>
      <c r="Y25" s="367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79"/>
      <c r="Q26" s="1343"/>
      <c r="R26" s="701"/>
      <c r="S26" s="702"/>
      <c r="T26" s="701"/>
      <c r="U26" s="702"/>
      <c r="V26" s="701"/>
      <c r="W26" s="702"/>
      <c r="X26" s="703"/>
      <c r="Y26" s="367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7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7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79"/>
      <c r="Q28" s="1352" t="str">
        <f t="shared" si="8"/>
        <v>毗邻道路的类型与等级</v>
      </c>
      <c r="R28" s="705" t="s">
        <v>14</v>
      </c>
      <c r="S28" s="706">
        <f t="shared" si="10"/>
        <v>100</v>
      </c>
      <c r="T28" s="705" t="s">
        <v>14</v>
      </c>
      <c r="U28" s="706">
        <f t="shared" si="11"/>
        <v>100</v>
      </c>
      <c r="V28" s="705" t="s">
        <v>14</v>
      </c>
      <c r="W28" s="706">
        <f t="shared" si="12"/>
        <v>100</v>
      </c>
      <c r="X28" s="1355"/>
      <c r="Y28" s="367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79"/>
      <c r="Q29" s="1352"/>
      <c r="R29" s="705"/>
      <c r="S29" s="706"/>
      <c r="T29" s="705"/>
      <c r="U29" s="706"/>
      <c r="V29" s="705"/>
      <c r="W29" s="706"/>
      <c r="X29" s="1355"/>
      <c r="Y29" s="367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79"/>
      <c r="Q30" s="1352" t="str">
        <f t="shared" si="8"/>
        <v>土地级别</v>
      </c>
      <c r="R30" s="705" t="s">
        <v>14</v>
      </c>
      <c r="S30" s="706">
        <f t="shared" si="10"/>
        <v>100</v>
      </c>
      <c r="T30" s="705" t="s">
        <v>14</v>
      </c>
      <c r="U30" s="706">
        <f t="shared" si="11"/>
        <v>100</v>
      </c>
      <c r="V30" s="705" t="s">
        <v>14</v>
      </c>
      <c r="W30" s="706">
        <f t="shared" si="12"/>
        <v>100</v>
      </c>
      <c r="X30" s="1355"/>
      <c r="Y30" s="367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79"/>
      <c r="Q31" s="1352">
        <f t="shared" si="8"/>
        <v>111</v>
      </c>
      <c r="R31" s="705" t="s">
        <v>14</v>
      </c>
      <c r="S31" s="706">
        <f t="shared" si="10"/>
        <v>100</v>
      </c>
      <c r="T31" s="705" t="s">
        <v>14</v>
      </c>
      <c r="U31" s="706">
        <f t="shared" si="11"/>
        <v>100</v>
      </c>
      <c r="V31" s="705" t="s">
        <v>14</v>
      </c>
      <c r="W31" s="706">
        <f t="shared" si="12"/>
        <v>100</v>
      </c>
      <c r="X31" s="1355"/>
      <c r="Y31" s="367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37" t="s">
        <v>1696</v>
      </c>
      <c r="Q32" s="1352">
        <f t="shared" si="8"/>
        <v>111</v>
      </c>
      <c r="R32" s="705" t="s">
        <v>14</v>
      </c>
      <c r="S32" s="706">
        <f t="shared" si="10"/>
        <v>100</v>
      </c>
      <c r="T32" s="705" t="s">
        <v>14</v>
      </c>
      <c r="U32" s="706">
        <f t="shared" si="11"/>
        <v>100</v>
      </c>
      <c r="V32" s="705" t="s">
        <v>14</v>
      </c>
      <c r="W32" s="706">
        <f t="shared" si="12"/>
        <v>100</v>
      </c>
      <c r="X32" s="1355"/>
      <c r="Y32" s="368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83"/>
      <c r="Q33" s="1352">
        <f t="shared" si="8"/>
        <v>111</v>
      </c>
      <c r="R33" s="708" t="s">
        <v>14</v>
      </c>
      <c r="S33" s="709">
        <f t="shared" si="10"/>
        <v>100</v>
      </c>
      <c r="T33" s="708" t="s">
        <v>14</v>
      </c>
      <c r="U33" s="709">
        <f t="shared" si="11"/>
        <v>100</v>
      </c>
      <c r="V33" s="708" t="s">
        <v>14</v>
      </c>
      <c r="W33" s="709">
        <f t="shared" si="12"/>
        <v>100</v>
      </c>
      <c r="X33" s="710"/>
      <c r="Y33" s="368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83"/>
      <c r="Q34" s="1352" t="str">
        <f>B34</f>
        <v>宗地面积</v>
      </c>
      <c r="R34" s="705" t="s">
        <v>14</v>
      </c>
      <c r="S34" s="706" t="e">
        <f t="shared" si="10"/>
        <v>#N/A</v>
      </c>
      <c r="T34" s="705" t="s">
        <v>14</v>
      </c>
      <c r="U34" s="706" t="e">
        <f t="shared" si="11"/>
        <v>#N/A</v>
      </c>
      <c r="V34" s="705" t="s">
        <v>14</v>
      </c>
      <c r="W34" s="706" t="e">
        <f t="shared" si="12"/>
        <v>#N/A</v>
      </c>
      <c r="X34" s="1355"/>
      <c r="Y34" s="368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83"/>
      <c r="Q35" s="1352" t="str">
        <f t="shared" ref="Q35:Q40" si="14">B35</f>
        <v>宗地形状</v>
      </c>
      <c r="R35" s="705" t="s">
        <v>14</v>
      </c>
      <c r="S35" s="706">
        <f t="shared" si="10"/>
        <v>100</v>
      </c>
      <c r="T35" s="705" t="s">
        <v>14</v>
      </c>
      <c r="U35" s="706">
        <f t="shared" si="11"/>
        <v>100</v>
      </c>
      <c r="V35" s="705" t="s">
        <v>14</v>
      </c>
      <c r="W35" s="706">
        <f t="shared" si="12"/>
        <v>100</v>
      </c>
      <c r="X35" s="1355"/>
      <c r="Y35" s="368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83"/>
      <c r="Q36" s="1352" t="str">
        <f t="shared" si="14"/>
        <v>宗地开发程度</v>
      </c>
      <c r="R36" s="701" t="s">
        <v>14</v>
      </c>
      <c r="S36" s="702">
        <f t="shared" si="10"/>
        <v>100</v>
      </c>
      <c r="T36" s="701" t="s">
        <v>14</v>
      </c>
      <c r="U36" s="702">
        <f t="shared" si="11"/>
        <v>100</v>
      </c>
      <c r="V36" s="701" t="s">
        <v>14</v>
      </c>
      <c r="W36" s="702">
        <f t="shared" si="12"/>
        <v>100</v>
      </c>
      <c r="X36" s="703"/>
      <c r="Y36" s="368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83" t="s">
        <v>1696</v>
      </c>
      <c r="Q37" s="1352" t="str">
        <f t="shared" si="14"/>
        <v>工程地质条件</v>
      </c>
      <c r="R37" s="705" t="s">
        <v>14</v>
      </c>
      <c r="S37" s="706">
        <f t="shared" si="10"/>
        <v>100</v>
      </c>
      <c r="T37" s="705" t="s">
        <v>14</v>
      </c>
      <c r="U37" s="706">
        <f t="shared" si="11"/>
        <v>100</v>
      </c>
      <c r="V37" s="705" t="s">
        <v>14</v>
      </c>
      <c r="W37" s="706">
        <f t="shared" si="12"/>
        <v>100</v>
      </c>
      <c r="X37" s="1355"/>
      <c r="Y37" s="368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83"/>
      <c r="Q38" s="1352">
        <f t="shared" si="14"/>
        <v>111</v>
      </c>
      <c r="R38" s="705" t="s">
        <v>14</v>
      </c>
      <c r="S38" s="706">
        <f t="shared" si="10"/>
        <v>100</v>
      </c>
      <c r="T38" s="705" t="s">
        <v>14</v>
      </c>
      <c r="U38" s="706">
        <f t="shared" si="11"/>
        <v>100</v>
      </c>
      <c r="V38" s="705" t="s">
        <v>14</v>
      </c>
      <c r="W38" s="706">
        <f t="shared" si="12"/>
        <v>100</v>
      </c>
      <c r="X38" s="1355"/>
      <c r="Y38" s="368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83"/>
      <c r="Q39" s="1352">
        <f t="shared" si="14"/>
        <v>111</v>
      </c>
      <c r="R39" s="705" t="s">
        <v>14</v>
      </c>
      <c r="S39" s="706">
        <f t="shared" si="10"/>
        <v>100</v>
      </c>
      <c r="T39" s="705" t="s">
        <v>14</v>
      </c>
      <c r="U39" s="706">
        <f t="shared" si="11"/>
        <v>100</v>
      </c>
      <c r="V39" s="705" t="s">
        <v>14</v>
      </c>
      <c r="W39" s="706">
        <f t="shared" si="12"/>
        <v>100</v>
      </c>
      <c r="X39" s="1355"/>
      <c r="Y39" s="368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83"/>
      <c r="Q40" s="1352">
        <f t="shared" si="14"/>
        <v>111</v>
      </c>
      <c r="R40" s="708" t="s">
        <v>14</v>
      </c>
      <c r="S40" s="709">
        <f t="shared" si="10"/>
        <v>100</v>
      </c>
      <c r="T40" s="708" t="s">
        <v>14</v>
      </c>
      <c r="U40" s="709">
        <f t="shared" si="11"/>
        <v>100</v>
      </c>
      <c r="V40" s="708" t="s">
        <v>14</v>
      </c>
      <c r="W40" s="709">
        <f t="shared" si="12"/>
        <v>100</v>
      </c>
      <c r="X40" s="710"/>
      <c r="Y40" s="368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76" t="str">
        <f>A41</f>
        <v>成交单价</v>
      </c>
      <c r="Q41" s="3676"/>
      <c r="R41" s="3707">
        <f>E41</f>
        <v>0</v>
      </c>
      <c r="S41" s="3707"/>
      <c r="T41" s="3707">
        <f>G41</f>
        <v>0</v>
      </c>
      <c r="U41" s="3707"/>
      <c r="V41" s="3707">
        <f>I41</f>
        <v>0</v>
      </c>
      <c r="W41" s="370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76" t="str">
        <f>A42</f>
        <v>比较价值（元/平方米）</v>
      </c>
      <c r="Q42" s="3676"/>
      <c r="R42" s="3739" t="e">
        <f>ROUND(PRODUCT(R41,AA7:AA40),0)</f>
        <v>#DIV/0!</v>
      </c>
      <c r="S42" s="3739"/>
      <c r="T42" s="3739" t="e">
        <f>ROUND(PRODUCT(T41,AB7:AB40),0)</f>
        <v>#DIV/0!</v>
      </c>
      <c r="U42" s="3739"/>
      <c r="V42" s="3739" t="e">
        <f>ROUND(PRODUCT(V41,AC7:AC40),0)</f>
        <v>#DIV/0!</v>
      </c>
      <c r="W42" s="3739"/>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73" t="str">
        <f>A43</f>
        <v>估价对象XX用房的比较价值（楼面单价，元/平方米）</v>
      </c>
      <c r="Q43" s="3674"/>
      <c r="R43" s="3740" t="e">
        <f>ROUND(IF(D42="简单平均",AVERAGE(R42:W42),R42*F42+T42*H42+V42*J42),0)</f>
        <v>#DIV/0!</v>
      </c>
      <c r="S43" s="3740"/>
      <c r="T43" s="3740"/>
      <c r="U43" s="3740"/>
      <c r="V43" s="3740"/>
      <c r="W43" s="3740"/>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91" t="s">
        <v>1887</v>
      </c>
      <c r="H50" s="3741"/>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162.94</v>
      </c>
      <c r="F51" s="639" t="e">
        <f t="shared" ref="F51:F60" si="15">ROUND(B51*E51/10000,0)</f>
        <v>#DIV/0!</v>
      </c>
      <c r="G51" s="3687"/>
      <c r="H51" s="367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xr:uid="{00000000-0002-0000-2100-000000000000}">
      <formula1>单价内涵</formula1>
    </dataValidation>
    <dataValidation type="list" allowBlank="1" showInputMessage="1" showErrorMessage="1" sqref="C22 E22 G22 I22" xr:uid="{00000000-0002-0000-2100-000001000000}">
      <formula1>环境</formula1>
    </dataValidation>
    <dataValidation type="list" allowBlank="1" showInputMessage="1" showErrorMessage="1" sqref="E18 C18 G18 I18" xr:uid="{00000000-0002-0000-2100-000002000000}">
      <formula1>交通便捷度</formula1>
    </dataValidation>
    <dataValidation type="list" allowBlank="1" showInputMessage="1" showErrorMessage="1" sqref="E24 C24 G24 I24" xr:uid="{00000000-0002-0000-2100-000003000000}">
      <formula1>公共配套设施</formula1>
    </dataValidation>
    <dataValidation type="list" allowBlank="1" showInputMessage="1" showErrorMessage="1" sqref="C8 E8 G8 I8" xr:uid="{00000000-0002-0000-2100-000004000000}">
      <formula1>套工交易情况</formula1>
    </dataValidation>
    <dataValidation type="list" allowBlank="1" showInputMessage="1" showErrorMessage="1" sqref="C9 E9 G9 I9" xr:uid="{00000000-0002-0000-2100-000005000000}">
      <formula1>套工用途</formula1>
    </dataValidation>
    <dataValidation type="list" allowBlank="1" showInputMessage="1" showErrorMessage="1" sqref="I30 E30 G30" xr:uid="{00000000-0002-0000-2100-000006000000}">
      <formula1>套工土地级别</formula1>
    </dataValidation>
    <dataValidation type="list" allowBlank="1" showInputMessage="1" showErrorMessage="1" sqref="C27 E27 G27 I27" xr:uid="{00000000-0002-0000-2100-000007000000}">
      <formula1>临街状况</formula1>
    </dataValidation>
    <dataValidation type="list" allowBlank="1" showInputMessage="1" showErrorMessage="1" sqref="E20 G20 I20 C20" xr:uid="{00000000-0002-0000-2100-000008000000}">
      <formula1>区域土地利用方向</formula1>
    </dataValidation>
    <dataValidation type="list" allowBlank="1" showInputMessage="1" showErrorMessage="1" sqref="C50" xr:uid="{00000000-0002-0000-2100-000009000000}">
      <formula1>"北京市系数,其他省市系数"</formula1>
    </dataValidation>
    <dataValidation type="list" allowBlank="1" showInputMessage="1" showErrorMessage="1" sqref="C16 E16 G16 I16" xr:uid="{00000000-0002-0000-2100-00000A000000}">
      <formula1>产业集聚程度</formula1>
    </dataValidation>
    <dataValidation type="list" allowBlank="1" showInputMessage="1" showErrorMessage="1" sqref="C29 E29 G29 I29" xr:uid="{00000000-0002-0000-2100-00000B000000}">
      <formula1>套工道路等级</formula1>
    </dataValidation>
    <dataValidation type="list" allowBlank="1" showInputMessage="1" showErrorMessage="1" sqref="C35 E35 G35 I35" xr:uid="{00000000-0002-0000-2100-00000C000000}">
      <formula1>套工宗地形状</formula1>
    </dataValidation>
    <dataValidation type="list" allowBlank="1" showInputMessage="1" showErrorMessage="1" sqref="C36 E36 G36 I36" xr:uid="{00000000-0002-0000-2100-00000D000000}">
      <formula1>套工宗地开发程度</formula1>
    </dataValidation>
    <dataValidation type="list" allowBlank="1" showInputMessage="1" showErrorMessage="1" sqref="C37 E37 G37 I37" xr:uid="{00000000-0002-0000-2100-00000E000000}">
      <formula1>套工地质条件</formula1>
    </dataValidation>
    <dataValidation type="list" allowBlank="1" showInputMessage="1" showErrorMessage="1" sqref="G58" xr:uid="{00000000-0002-0000-2100-00000F000000}">
      <formula1>"住宅,工业"</formula1>
    </dataValidation>
    <dataValidation type="list" allowBlank="1" showInputMessage="1" showErrorMessage="1" sqref="G57" xr:uid="{00000000-0002-0000-2100-000010000000}">
      <formula1>"商业,办公,住宅,工业"</formula1>
    </dataValidation>
    <dataValidation type="list" allowBlank="1" showInputMessage="1" showErrorMessage="1" sqref="D52:D60" xr:uid="{00000000-0002-0000-2100-000011000000}">
      <formula1>"25%,1"</formula1>
    </dataValidation>
    <dataValidation type="list" allowBlank="1" showInputMessage="1" showErrorMessage="1" sqref="C26 E26 G26 I26" xr:uid="{00000000-0002-0000-2100-000012000000}">
      <formula1>基础设施水平</formula1>
    </dataValidation>
    <dataValidation type="list" allowBlank="1" showInputMessage="1" showErrorMessage="1" sqref="D42" xr:uid="{00000000-0002-0000-21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49" t="s">
        <v>2084</v>
      </c>
      <c r="D1" s="3750"/>
      <c r="E1" s="3750"/>
      <c r="F1" s="3750"/>
      <c r="G1" s="3750"/>
      <c r="H1" s="3750"/>
      <c r="I1" s="3750"/>
      <c r="J1" s="3750"/>
      <c r="K1" s="3750"/>
      <c r="L1" s="3750"/>
      <c r="M1" s="3750"/>
      <c r="N1" s="3750"/>
      <c r="O1" s="3750"/>
      <c r="P1" s="3750"/>
      <c r="Q1" s="3750"/>
      <c r="R1" s="3750"/>
      <c r="S1" s="3751"/>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46" t="s">
        <v>27</v>
      </c>
      <c r="D22" s="3747"/>
      <c r="E22" s="3747"/>
      <c r="F22" s="3747"/>
      <c r="G22" s="3747"/>
      <c r="H22" s="3747"/>
      <c r="I22" s="3747"/>
      <c r="J22" s="3747"/>
      <c r="K22" s="3747"/>
      <c r="L22" s="3747"/>
      <c r="M22" s="3747"/>
      <c r="N22" s="3747"/>
      <c r="O22" s="3747"/>
      <c r="P22" s="3747"/>
      <c r="Q22" s="3748"/>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200-000000000000}">
      <formula1>一修多修正项2</formula1>
    </dataValidation>
    <dataValidation type="list" allowBlank="1" showInputMessage="1" showErrorMessage="1" sqref="F24:F524" xr:uid="{00000000-0002-0000-2200-000001000000}">
      <formula1>一修多修正项3</formula1>
    </dataValidation>
    <dataValidation type="list" allowBlank="1" showInputMessage="1" showErrorMessage="1" sqref="H24:H524" xr:uid="{00000000-0002-0000-2200-000002000000}">
      <formula1>一修多修正项4</formula1>
    </dataValidation>
    <dataValidation type="list" allowBlank="1" showInputMessage="1" showErrorMessage="1" sqref="J24:J524" xr:uid="{00000000-0002-0000-2200-000003000000}">
      <formula1>一修多修正项5</formula1>
    </dataValidation>
    <dataValidation type="list" allowBlank="1" showInputMessage="1" showErrorMessage="1" sqref="L24:L524" xr:uid="{00000000-0002-0000-2200-000004000000}">
      <formula1>一修多修正项6</formula1>
    </dataValidation>
    <dataValidation type="list" allowBlank="1" showInputMessage="1" showErrorMessage="1" sqref="N24:N524" xr:uid="{00000000-0002-0000-2200-000005000000}">
      <formula1>一修多修正项7</formula1>
    </dataValidation>
    <dataValidation type="list" allowBlank="1" showInputMessage="1" showErrorMessage="1" sqref="P24:P524" xr:uid="{00000000-0002-0000-2200-000006000000}">
      <formula1>一修多修正项8</formula1>
    </dataValidation>
    <dataValidation type="list" allowBlank="1" showInputMessage="1" showErrorMessage="1" sqref="D20" xr:uid="{00000000-0002-0000-2200-000007000000}">
      <formula1>"需扣减承租人权益,——"</formula1>
    </dataValidation>
    <dataValidation type="list" allowBlank="1" showInputMessage="1" showErrorMessage="1" sqref="H20" xr:uid="{00000000-0002-0000-22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t="e">
        <f ca="1">SUMIF(B6:B13,"&lt;&gt;#ref!",B6:B13)</f>
        <v>#DIV/0!</v>
      </c>
      <c r="C2" s="2145" t="s">
        <v>2074</v>
      </c>
      <c r="D2" s="2145" t="s">
        <v>2075</v>
      </c>
      <c r="E2" s="2610">
        <f ca="1">SUMIF(E6:E13,"&lt;&gt;#ref!",E6:E13)</f>
        <v>0</v>
      </c>
      <c r="F2" s="2791"/>
      <c r="G2" s="2791"/>
      <c r="H2" s="2791"/>
      <c r="I2" s="2791"/>
      <c r="J2" s="2791"/>
      <c r="K2" s="2791"/>
      <c r="L2" s="2791"/>
      <c r="M2" s="2791"/>
      <c r="N2" s="2791"/>
      <c r="O2" s="2791"/>
      <c r="P2" s="2791"/>
    </row>
    <row r="3" spans="1:16" ht="15.75">
      <c r="A3" s="2145" t="s">
        <v>2076</v>
      </c>
      <c r="B3" s="2600" t="e">
        <f ca="1">ROUND(B2*10000/E2,0)</f>
        <v>#DIV/0!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t="e">
        <f ca="1">SUMIF(INDIRECT("'"&amp;A6&amp;"'"&amp;"!A:A"),"总价",INDIRECT("'"&amp;A6&amp;"'"&amp;"!B:B"))</f>
        <v>#DIV/0!</v>
      </c>
      <c r="C6" s="2145" t="s">
        <v>2074</v>
      </c>
      <c r="D6" s="2791"/>
      <c r="E6" s="2610">
        <f ca="1">SUMIF(INDIRECT("'"&amp;A6&amp;"'"&amp;"!C:C"),"建筑面积",INDIRECT("'"&amp;A6&amp;"'"&amp;"!D:D"))</f>
        <v>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rgb="FF92D050"/>
  </sheetPr>
  <dimension ref="A1:AK122"/>
  <sheetViews>
    <sheetView view="pageBreakPreview" topLeftCell="A13" zoomScale="70" zoomScaleNormal="80" zoomScaleSheetLayoutView="70" workbookViewId="0">
      <selection activeCell="F39" sqref="F39:F48"/>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t="e">
        <f>C30</f>
        <v>#DIV/0!</v>
      </c>
      <c r="C2" s="1999" t="s">
        <v>1935</v>
      </c>
      <c r="D2" s="2000" t="s">
        <v>1936</v>
      </c>
      <c r="E2" s="3420"/>
      <c r="F2" s="2000" t="s">
        <v>1937</v>
      </c>
      <c r="G2" s="2001">
        <f>IF(E2="商业",项目基本情况!B37,IF(E2="办公",项目基本情况!C37,IF(E2="住宅",项目基本情况!D37,IF(E2="工业",项目基本情况!E37,项目基本情况!F37))))</f>
        <v>0</v>
      </c>
      <c r="H2" s="2000" t="s">
        <v>1938</v>
      </c>
      <c r="I2" s="2001">
        <f>IF(E2="商业",项目基本情况!B38,IF(E2="办公",项目基本情况!C38,IF(E2="住宅",项目基本情况!D38,IF(E2="工业",项目基本情况!E38,项目基本情况!F38))))</f>
        <v>0</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0</v>
      </c>
      <c r="T2" s="3359" t="e">
        <f t="shared" ref="T2:T16" si="0">ROUND($C$5*$C$22*$C$23*$C$24*S2*$C$28,0)</f>
        <v>#DIV/0!</v>
      </c>
      <c r="U2" s="1213"/>
      <c r="V2" s="3359" t="e">
        <f>ROUND(T2*U2/10000,0)</f>
        <v>#DIV/0!</v>
      </c>
      <c r="W2" s="1216"/>
      <c r="X2" s="1216"/>
      <c r="Y2" s="1216"/>
      <c r="Z2" s="1216"/>
      <c r="AA2" s="1216"/>
      <c r="AB2" s="1216"/>
      <c r="AC2" s="1217"/>
      <c r="AD2" s="1218"/>
      <c r="AE2" s="1218"/>
      <c r="AF2" s="1218"/>
      <c r="AG2" s="1218"/>
      <c r="AH2" s="1218"/>
      <c r="AI2" s="1218"/>
      <c r="AJ2" s="1219"/>
    </row>
    <row r="3" spans="1:36" ht="15.75">
      <c r="A3" s="203" t="s">
        <v>1940</v>
      </c>
      <c r="B3" s="204" t="e">
        <f>ROUND(B2*10000/D1,0)</f>
        <v>#DIV/0!</v>
      </c>
      <c r="C3" s="1999" t="s">
        <v>1941</v>
      </c>
      <c r="D3" s="2000" t="s">
        <v>1942</v>
      </c>
      <c r="E3" s="3418"/>
      <c r="F3" s="2004"/>
      <c r="G3" s="752">
        <f>IF(F3="宗地容积率",'数据-汇总表'!I4,IF(F3="估价对象容积率",'数据-汇总表'!I6,'数据-汇总表'!I7))</f>
        <v>0</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0</v>
      </c>
      <c r="T3" s="3359" t="e">
        <f t="shared" si="0"/>
        <v>#DIV/0!</v>
      </c>
      <c r="U3" s="1213"/>
      <c r="V3" s="3359" t="e">
        <f t="shared" ref="V3:V16" si="1">ROUND(T3*U3/10000,0)</f>
        <v>#DIV/0!</v>
      </c>
      <c r="W3" s="1216"/>
      <c r="X3" s="1216"/>
      <c r="Y3" s="1216"/>
      <c r="Z3" s="1216"/>
      <c r="AA3" s="1216"/>
      <c r="AB3" s="1216"/>
      <c r="AC3" s="1217"/>
      <c r="AD3" s="1218"/>
      <c r="AE3" s="1218"/>
      <c r="AF3" s="1218"/>
      <c r="AG3" s="1218"/>
      <c r="AH3" s="1218"/>
      <c r="AI3" s="1218"/>
      <c r="AJ3" s="1219"/>
    </row>
    <row r="4" spans="1:36" ht="15.75">
      <c r="A4" s="3759"/>
      <c r="B4" s="3760"/>
      <c r="C4" s="3760"/>
      <c r="D4" s="3761"/>
      <c r="E4" s="3761"/>
      <c r="F4" s="3761"/>
      <c r="G4" s="3761"/>
      <c r="H4" s="3761"/>
      <c r="I4" s="3761"/>
      <c r="J4" s="3762"/>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v>
      </c>
      <c r="T4" s="3359" t="e">
        <f t="shared" si="0"/>
        <v>#DIV/0!</v>
      </c>
      <c r="U4" s="1213"/>
      <c r="V4" s="3359" t="e">
        <f t="shared" si="1"/>
        <v>#DIV/0!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t="e">
        <f>ROUND(IF(E2="商业",C6*C7*C17+C20,(IF(E2="住宅",C6*C13*C17+C20,IF(E2="办公",C6*C12*C17+C20,C6+C20)))),0)</f>
        <v>#DIV/0!</v>
      </c>
      <c r="D5" s="1339" t="e">
        <f>ROUND(C6*C17+C20,0)</f>
        <v>#DIV/0!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v>
      </c>
      <c r="T5" s="3359" t="e">
        <f t="shared" si="0"/>
        <v>#DIV/0!</v>
      </c>
      <c r="U5" s="1213"/>
      <c r="V5" s="3359" t="e">
        <f t="shared" si="1"/>
        <v>#DIV/0!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v>
      </c>
      <c r="T6" s="3359" t="e">
        <f t="shared" si="0"/>
        <v>#DIV/0!</v>
      </c>
      <c r="U6" s="1213"/>
      <c r="V6" s="3359" t="e">
        <f t="shared" si="1"/>
        <v>#DIV/0!</v>
      </c>
      <c r="W6" s="1216"/>
      <c r="X6" s="1216"/>
      <c r="Y6" s="1216"/>
      <c r="Z6" s="1216"/>
      <c r="AA6" s="1216"/>
      <c r="AB6" s="1216"/>
      <c r="AC6" s="2011"/>
      <c r="AD6" s="2012"/>
      <c r="AE6" s="2012"/>
      <c r="AF6" s="2012"/>
      <c r="AG6" s="2012"/>
      <c r="AH6" s="2012"/>
      <c r="AI6" s="2012"/>
      <c r="AJ6" s="2013"/>
    </row>
    <row r="7" spans="1:36" ht="24.75" thickBot="1">
      <c r="A7" s="3302" t="s">
        <v>3240</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t="e">
        <f t="shared" si="0"/>
        <v>#DIV/0!</v>
      </c>
      <c r="U7" s="1213"/>
      <c r="V7" s="3359" t="e">
        <f t="shared" si="1"/>
        <v>#DIV/0!</v>
      </c>
      <c r="W7" s="1358" t="s">
        <v>1955</v>
      </c>
      <c r="X7" s="1214">
        <f>G2</f>
        <v>0</v>
      </c>
      <c r="Y7" s="1214" t="s">
        <v>1956</v>
      </c>
      <c r="Z7" s="1215">
        <f>G3</f>
        <v>0</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t="e">
        <f t="shared" si="0"/>
        <v>#DIV/0!</v>
      </c>
      <c r="U8" s="1213"/>
      <c r="V8" s="3359" t="e">
        <f t="shared" si="1"/>
        <v>#DIV/0!</v>
      </c>
      <c r="W8" s="3756" t="s">
        <v>1960</v>
      </c>
      <c r="X8" s="3757"/>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0</v>
      </c>
      <c r="N9" s="866">
        <f>SUMPRODUCT((因素修正幅度!B277:B326=I2)*(因素修正幅度!C3:G3=E2)*(因素修正幅度!C277:G326))</f>
        <v>0</v>
      </c>
      <c r="O9" s="1119"/>
      <c r="P9" s="1119"/>
      <c r="Q9" s="1119"/>
      <c r="R9" s="1212">
        <v>8</v>
      </c>
      <c r="S9" s="1213"/>
      <c r="T9" s="3359" t="e">
        <f t="shared" si="0"/>
        <v>#DIV/0!</v>
      </c>
      <c r="U9" s="1213"/>
      <c r="V9" s="3359" t="e">
        <f t="shared" si="1"/>
        <v>#DIV/0!</v>
      </c>
      <c r="W9" s="3758"/>
      <c r="X9" s="3360" t="s">
        <v>3271</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t="e">
        <f t="shared" si="0"/>
        <v>#DIV/0!</v>
      </c>
      <c r="U10" s="1213"/>
      <c r="V10" s="3359" t="e">
        <f t="shared" si="1"/>
        <v>#DIV/0!</v>
      </c>
      <c r="W10" s="3758"/>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t="e">
        <f t="shared" si="0"/>
        <v>#DIV/0!</v>
      </c>
      <c r="U11" s="1213"/>
      <c r="V11" s="3359" t="e">
        <f t="shared" si="1"/>
        <v>#DIV/0!</v>
      </c>
      <c r="W11" s="1216"/>
      <c r="X11" s="1216"/>
      <c r="Y11" s="1216"/>
      <c r="Z11" s="1216"/>
      <c r="AA11" s="1216"/>
      <c r="AB11" s="1216"/>
      <c r="AC11" s="1217"/>
      <c r="AD11" s="2787"/>
      <c r="AE11" s="2787"/>
      <c r="AF11" s="2787"/>
      <c r="AG11" s="2787"/>
      <c r="AH11" s="2787"/>
      <c r="AI11" s="2787"/>
      <c r="AJ11" s="2788"/>
    </row>
    <row r="12" spans="1:36" ht="25.5" thickBot="1">
      <c r="A12" s="3302" t="s">
        <v>3241</v>
      </c>
      <c r="B12" s="3303" t="s">
        <v>3242</v>
      </c>
      <c r="C12" s="3304"/>
      <c r="D12" s="3305" t="s">
        <v>3243</v>
      </c>
      <c r="E12" s="3306" t="s">
        <v>3244</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t="e">
        <f t="shared" si="0"/>
        <v>#DIV/0!</v>
      </c>
      <c r="U12" s="1213"/>
      <c r="V12" s="3359" t="e">
        <f t="shared" si="1"/>
        <v>#DIV/0!</v>
      </c>
      <c r="W12" s="1216"/>
      <c r="X12" s="1216"/>
      <c r="Y12" s="1216"/>
      <c r="Z12" s="1216"/>
      <c r="AA12" s="1216"/>
      <c r="AB12" s="1216"/>
      <c r="AC12" s="1217"/>
      <c r="AD12" s="2787"/>
      <c r="AE12" s="2787"/>
      <c r="AF12" s="2787"/>
      <c r="AG12" s="2787"/>
      <c r="AH12" s="2787"/>
      <c r="AI12" s="2787"/>
      <c r="AJ12" s="2788"/>
    </row>
    <row r="13" spans="1:36" ht="15.75" thickBot="1">
      <c r="A13" s="3302" t="s">
        <v>3245</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t="e">
        <f t="shared" si="0"/>
        <v>#DIV/0!</v>
      </c>
      <c r="U13" s="1213"/>
      <c r="V13" s="3359" t="e">
        <f t="shared" si="1"/>
        <v>#DIV/0!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3246</v>
      </c>
      <c r="G14" s="3310" t="s">
        <v>3246</v>
      </c>
      <c r="H14" s="3310" t="s">
        <v>3246</v>
      </c>
      <c r="I14" s="3310" t="s">
        <v>3246</v>
      </c>
      <c r="J14" s="3310" t="s">
        <v>3246</v>
      </c>
      <c r="K14" s="1119"/>
      <c r="L14" s="1119"/>
      <c r="M14" s="1119"/>
      <c r="N14" s="1119"/>
      <c r="O14" s="1119"/>
      <c r="P14" s="1119"/>
      <c r="Q14" s="1119"/>
      <c r="R14" s="1212">
        <v>13</v>
      </c>
      <c r="S14" s="1213"/>
      <c r="T14" s="3359" t="e">
        <f t="shared" si="0"/>
        <v>#DIV/0!</v>
      </c>
      <c r="U14" s="1213"/>
      <c r="V14" s="3359" t="e">
        <f t="shared" si="1"/>
        <v>#DIV/0!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3247</v>
      </c>
      <c r="G15" s="3312"/>
      <c r="H15" s="3313"/>
      <c r="I15" s="3314"/>
      <c r="J15" s="3315"/>
      <c r="K15" s="1119"/>
      <c r="L15" s="1119"/>
      <c r="M15" s="1119"/>
      <c r="N15" s="1119"/>
      <c r="O15" s="1119"/>
      <c r="P15" s="1119"/>
      <c r="Q15" s="1119"/>
      <c r="R15" s="1212">
        <v>14</v>
      </c>
      <c r="S15" s="1213"/>
      <c r="T15" s="3359" t="e">
        <f t="shared" si="0"/>
        <v>#DIV/0!</v>
      </c>
      <c r="U15" s="1213"/>
      <c r="V15" s="3359" t="e">
        <f t="shared" si="1"/>
        <v>#DIV/0!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t="e">
        <f t="shared" si="0"/>
        <v>#DIV/0!</v>
      </c>
      <c r="U16" s="1213"/>
      <c r="V16" s="3359" t="e">
        <f t="shared" si="1"/>
        <v>#DIV/0!</v>
      </c>
      <c r="W16" s="1216"/>
      <c r="X16" s="1216"/>
      <c r="Y16" s="1216"/>
      <c r="Z16" s="1216"/>
      <c r="AA16" s="1216"/>
      <c r="AB16" s="1216"/>
      <c r="AC16" s="1217"/>
      <c r="AD16" s="2787"/>
      <c r="AE16" s="2787"/>
      <c r="AF16" s="2787"/>
      <c r="AG16" s="2787"/>
      <c r="AH16" s="2787"/>
      <c r="AI16" s="2787"/>
      <c r="AJ16" s="2788"/>
    </row>
    <row r="17" spans="1:37">
      <c r="A17" s="3328" t="s">
        <v>3248</v>
      </c>
      <c r="B17" s="3319" t="s">
        <v>3249</v>
      </c>
      <c r="C17" s="3329">
        <f>ROUND(IF(OR(E2="工业",E2="公共服务"),1,IF(AND(E18=0,E19=0),1,IF(AND(E18=J24,E19=G19),0.8,IF(E19=0,1+E17*(-0.2),1+E17*G17*(-0.2))))),4)</f>
        <v>1</v>
      </c>
      <c r="D17" s="3320" t="s">
        <v>3250</v>
      </c>
      <c r="E17" s="3329" t="e">
        <f>ROUND(G18/I18,2)</f>
        <v>#DIV/0!</v>
      </c>
      <c r="F17" s="3320" t="s">
        <v>3253</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3251</v>
      </c>
      <c r="E18" s="3327"/>
      <c r="F18" s="3322" t="s">
        <v>3254</v>
      </c>
      <c r="G18" s="3326">
        <f>ROUND(1-(1/(POWER(1+G24,E18))),4)</f>
        <v>0</v>
      </c>
      <c r="H18" s="3322" t="s">
        <v>3256</v>
      </c>
      <c r="I18" s="3326">
        <f>ROUND(1-(1/(POWER(1+G24,J24))),4)</f>
        <v>0</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3252</v>
      </c>
      <c r="E19" s="3336"/>
      <c r="F19" s="3337" t="s">
        <v>3255</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63" t="s">
        <v>3257</v>
      </c>
      <c r="B20" s="167" t="s">
        <v>1994</v>
      </c>
      <c r="C20" s="3323" t="e">
        <f>ROUND(IF(F21="与级别开发程度一致",0,(G21-E21)/C21),0)</f>
        <v>#DIV/0!</v>
      </c>
      <c r="D20" s="3339" t="s">
        <v>1998</v>
      </c>
      <c r="E20" s="3340"/>
      <c r="F20" s="3769" t="s">
        <v>1995</v>
      </c>
      <c r="G20" s="3770"/>
      <c r="H20" s="3324"/>
      <c r="I20" s="3324"/>
      <c r="J20" s="3325"/>
      <c r="K20" s="2047"/>
      <c r="L20" s="2047"/>
      <c r="M20" s="2047"/>
      <c r="N20" s="2047"/>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15" thickBot="1">
      <c r="A21" s="3764"/>
      <c r="B21" s="2164" t="s">
        <v>1997</v>
      </c>
      <c r="C21" s="2165">
        <f>IF(E3="M4科研用地",SUMPRODUCT((修正!A2:A7=E3)*(修正!B1:M1=G2)*(修正!B2:M7)),SUMPRODUCT((修正!A2:A7=E2)*(修正!B1:M1=G2)*(修正!B2:M7)))</f>
        <v>0</v>
      </c>
      <c r="D21" s="187" t="str">
        <f>IF(OR(G2="八级",G2="九级",G2="十级",G2="十一级",G2="十二级"),"五通一平","七通一平")</f>
        <v>七通一平</v>
      </c>
      <c r="E21" s="2155">
        <f>SUMPRODUCT((修正!B1:M1=G2)*(修正!B17:M17))</f>
        <v>0</v>
      </c>
      <c r="F21" s="2156"/>
      <c r="G21" s="2157">
        <f>SUM(H21:O21)</f>
        <v>0</v>
      </c>
      <c r="H21" s="2165">
        <f>SUMPRODUCT((七通一平=H20)*(修正!B1:M1=G2)*(修正!B8:M16))</f>
        <v>0</v>
      </c>
      <c r="I21" s="2165">
        <f>SUMPRODUCT((七通一平=I20)*(修正!B1:M1=G2)*(修正!B8:M16))</f>
        <v>0</v>
      </c>
      <c r="J21" s="2166">
        <f>SUMPRODUCT((七通一平=J20)*(修正!B1:M1=G2)*(修正!B8:M16))</f>
        <v>0</v>
      </c>
      <c r="K21" s="2165">
        <f>SUMPRODUCT((七通一平=K20)*(修正!B1:M1=G2)*(修正!B8:M16))</f>
        <v>0</v>
      </c>
      <c r="L21" s="2165">
        <f>SUMPRODUCT((七通一平=L20)*(修正!B1:M1=G2)*(修正!B8:M16))</f>
        <v>0</v>
      </c>
      <c r="M21" s="2165">
        <f>SUMPRODUCT((七通一平=M20)*(修正!B1:M1=G2)*(修正!B8:M16))</f>
        <v>0</v>
      </c>
      <c r="N21" s="2165">
        <f>SUMPRODUCT((七通一平=N20)*(修正!B1:M1=G2)*(修正!B8:M16))</f>
        <v>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0</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54" t="s">
        <v>2002</v>
      </c>
      <c r="E23" s="761">
        <v>44197</v>
      </c>
      <c r="F23" s="2054" t="s">
        <v>2003</v>
      </c>
      <c r="G23" s="762">
        <f>'数据-取费表'!B2</f>
        <v>45153</v>
      </c>
      <c r="H23" s="3341" t="s">
        <v>3259</v>
      </c>
      <c r="I23" s="3342" t="str">
        <f>IF(H23="季度增幅（自定义）",SUMIF(N25:N28,E2,O25:O28),"")</f>
        <v/>
      </c>
      <c r="J23" s="3444" t="s">
        <v>3258</v>
      </c>
      <c r="K23" s="1125"/>
      <c r="L23" s="2055" t="s">
        <v>2004</v>
      </c>
      <c r="M23" s="1328">
        <f>ROUND(SUMIF(地价!B2:G2,E2,地价!B16:G16),0)</f>
        <v>0</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t="e">
        <f>ROUND(POWER(1+G24,J24-I24)*(POWER(1+G24,I24)-1)/(POWER(1+G24,J24)-1),4)</f>
        <v>#DIV/0!</v>
      </c>
      <c r="D24" s="2060" t="s">
        <v>2007</v>
      </c>
      <c r="E24" s="1335">
        <f>存贷款利率!E24/100</f>
        <v>4.3499999999999997E-2</v>
      </c>
      <c r="F24" s="2060" t="s">
        <v>1999</v>
      </c>
      <c r="G24" s="768">
        <f>SUMIF(M30:Q30,E2,M33:Q33)</f>
        <v>0</v>
      </c>
      <c r="H24" s="2060" t="s">
        <v>2008</v>
      </c>
      <c r="I24" s="769" t="e">
        <f>SUMIF('数据-取费表'!C6:C15,E2,'数据-取费表'!F6:F15)/COUNTIF('数据-取费表'!C6:C15,E2)</f>
        <v>#DIV/0!</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3338</v>
      </c>
      <c r="C25" s="771">
        <f>IF(B25="容积率修正",IF(G3&lt;10,D26,J26),C27)</f>
        <v>0</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3260</v>
      </c>
      <c r="D26" s="1352">
        <f>IF(E26=G26,F26,IF(G3&lt;10,ROUND(F26+(H26-F26)*(G3-E26)/(G26-E26),4),"——"))</f>
        <v>0</v>
      </c>
      <c r="E26" s="752">
        <f>ROUNDDOWN(G3,1)</f>
        <v>0</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52">
        <f>ROUNDUP(G3,1)</f>
        <v>0</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43" t="s">
        <v>3261</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0</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t="e">
        <f>IF(B25="容积率修正",E33+SUM(E37:E42),SUM(V2:V16)+SUM(E37:E42))</f>
        <v>#DIV/0!</v>
      </c>
      <c r="D30" s="2083"/>
      <c r="E30" s="2046"/>
      <c r="F30" s="2084"/>
      <c r="G30" s="2046"/>
      <c r="H30" s="2046"/>
      <c r="I30" s="2046"/>
      <c r="J30" s="2085"/>
      <c r="K30" s="1119"/>
      <c r="L30" s="3349" t="s">
        <v>1936</v>
      </c>
      <c r="M30" s="3350" t="s">
        <v>1990</v>
      </c>
      <c r="N30" s="3350" t="s">
        <v>1991</v>
      </c>
      <c r="O30" s="3350" t="s">
        <v>1992</v>
      </c>
      <c r="P30" s="3350" t="s">
        <v>1993</v>
      </c>
      <c r="Q30" s="3353" t="s">
        <v>3265</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t="e">
        <f>E34+SUM(I37:I42)</f>
        <v>#DIV/0!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t="e">
        <f>ROUND(C5*C22*C23*C24*C25*C28,0)</f>
        <v>#DIV/0!</v>
      </c>
      <c r="D33" s="2098"/>
      <c r="E33" s="773" t="e">
        <f>ROUND(C33*D33/10000,0)</f>
        <v>#DIV/0!</v>
      </c>
      <c r="F33" s="3344" t="s">
        <v>3263</v>
      </c>
      <c r="G33" s="2099"/>
      <c r="H33" s="2099"/>
      <c r="I33" s="2099"/>
      <c r="J33" s="2100"/>
      <c r="K33" s="1119"/>
      <c r="L33" s="3347" t="s">
        <v>3266</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t="e">
        <f>ROUND(IF(E2="工业",C33*M42,IF(B25="楼层修正",SUM(V2:V16)*M41*10000/D34,C33*M41)),0)</f>
        <v>#DIV/0!</v>
      </c>
      <c r="D34" s="2103"/>
      <c r="E34" s="773" t="e">
        <f>ROUND(IF(B25="楼层修正",SUM(V2:V16)*M40,C34*D34/10000),0)</f>
        <v>#DIV/0!</v>
      </c>
      <c r="F34" s="2104" t="s">
        <v>2032</v>
      </c>
      <c r="G34" s="2105"/>
      <c r="H34" s="2105"/>
      <c r="I34" s="2105"/>
      <c r="J34" s="2106"/>
      <c r="K34" s="1119"/>
      <c r="L34" s="3347" t="s">
        <v>3267</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3264</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3268</v>
      </c>
      <c r="L36" s="3445">
        <f ca="1">'数据-取费表'!B40</f>
        <v>4.7500000000000001E-2</v>
      </c>
      <c r="M36" s="3356">
        <f ca="1">ROUND($L$36*(1+M31),3)</f>
        <v>5.8999999999999997E-2</v>
      </c>
      <c r="N36" s="3356">
        <f ca="1">ROUND($L$36*(1+N31),3)</f>
        <v>5.7000000000000002E-2</v>
      </c>
      <c r="O36" s="3356">
        <f ca="1">ROUND($L$36*(1+O31),3)</f>
        <v>5.5E-2</v>
      </c>
      <c r="P36" s="3356">
        <f ca="1">ROUND($L$36*(1+P31),3)</f>
        <v>5.1999999999999998E-2</v>
      </c>
      <c r="Q36" s="3356">
        <f ca="1">ROUND($L$36*(1+Q31),3)</f>
        <v>5.5E-2</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67"/>
      <c r="B37" s="2113" t="s">
        <v>2036</v>
      </c>
      <c r="C37" s="175" t="e">
        <f>ROUND(D5*C22*C23*C24*C28*F37,0)</f>
        <v>#DIV/0!</v>
      </c>
      <c r="D37" s="2098"/>
      <c r="E37" s="171" t="e">
        <f>ROUND(C37*D37/10000,0)</f>
        <v>#DIV/0!</v>
      </c>
      <c r="F37" s="171">
        <f>SUMIF(修正!A57:A68,G2,修正!B57:B68)</f>
        <v>0</v>
      </c>
      <c r="G37" s="171" t="e">
        <f>ROUND(IF(E2="工业",C37*$M$42,C37*$M$41),0)</f>
        <v>#DIV/0!</v>
      </c>
      <c r="H37" s="171">
        <f>D37</f>
        <v>0</v>
      </c>
      <c r="I37" s="171" t="e">
        <f>ROUND(G37*H37/10000,0)</f>
        <v>#DIV/0!</v>
      </c>
      <c r="J37" s="3010"/>
      <c r="K37" s="3357" t="s">
        <v>3269</v>
      </c>
      <c r="L37" s="3355">
        <f ca="1">L36+K38</f>
        <v>5.2499999999999998E-2</v>
      </c>
      <c r="M37" s="3356">
        <f ca="1">ROUND($L$37*(1+M31),3)</f>
        <v>6.6000000000000003E-2</v>
      </c>
      <c r="N37" s="3356">
        <f t="shared" ref="N37:Q37" ca="1" si="3">ROUND($L$37*(1+N31),3)</f>
        <v>6.3E-2</v>
      </c>
      <c r="O37" s="3356">
        <f t="shared" ca="1" si="3"/>
        <v>0.06</v>
      </c>
      <c r="P37" s="3356">
        <f t="shared" ca="1" si="3"/>
        <v>5.8000000000000003E-2</v>
      </c>
      <c r="Q37" s="3356">
        <f t="shared" ca="1" si="3"/>
        <v>0.06</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68"/>
      <c r="B38" s="2041" t="s">
        <v>2037</v>
      </c>
      <c r="C38" s="175" t="e">
        <f>ROUND(D5*C22*C23*C24*C28*F38,0)</f>
        <v>#DIV/0!</v>
      </c>
      <c r="D38" s="2098"/>
      <c r="E38" s="171" t="e">
        <f t="shared" ref="E38:E42" si="4">ROUND(C38*D38/10000,0)</f>
        <v>#DIV/0!</v>
      </c>
      <c r="F38" s="171">
        <f>SUMIF(修正!A57:A68,G2,修正!C57:C68)</f>
        <v>0</v>
      </c>
      <c r="G38" s="171" t="e">
        <f>ROUND(IF(E2="工业",C38*$M$42,C38*$M$41),0)</f>
        <v>#DIV/0!</v>
      </c>
      <c r="H38" s="171">
        <f t="shared" ref="H38:H42" si="5">D38</f>
        <v>0</v>
      </c>
      <c r="I38" s="171" t="e">
        <f t="shared" ref="I38:I42" si="6">ROUND(G38*H38/10000,0)</f>
        <v>#DIV/0!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68"/>
      <c r="B39" s="2041" t="s">
        <v>3262</v>
      </c>
      <c r="C39" s="175" t="e">
        <f>ROUND(D5*C22*C23*C24*C28*F39,0)</f>
        <v>#DIV/0!</v>
      </c>
      <c r="D39" s="2098"/>
      <c r="E39" s="171" t="e">
        <f t="shared" si="4"/>
        <v>#DIV/0!</v>
      </c>
      <c r="F39" s="171">
        <f>SUMIF(修正!A57:A68,G2,修正!D57:D68)</f>
        <v>0</v>
      </c>
      <c r="G39" s="171" t="e">
        <f>ROUND(IF(E2="工业",C39*$M$42,C39*$M$41),0)</f>
        <v>#DIV/0!</v>
      </c>
      <c r="H39" s="171">
        <f t="shared" si="5"/>
        <v>0</v>
      </c>
      <c r="I39" s="171" t="e">
        <f t="shared" si="6"/>
        <v>#DIV/0!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t="e">
        <f>ROUND(D5*C22*C23*C24*C28*F40,0)</f>
        <v>#DIV/0!</v>
      </c>
      <c r="D40" s="2098"/>
      <c r="E40" s="171" t="e">
        <f t="shared" si="4"/>
        <v>#DIV/0!</v>
      </c>
      <c r="F40" s="175">
        <f>SUMIF(修正!A57:A68,G2,修正!E57:E68)</f>
        <v>0</v>
      </c>
      <c r="G40" s="171" t="e">
        <f>ROUND(IF(E2="工业",C40*$M$42,C40*$M$41),0)</f>
        <v>#DIV/0!</v>
      </c>
      <c r="H40" s="171">
        <f t="shared" si="5"/>
        <v>0</v>
      </c>
      <c r="I40" s="171" t="e">
        <f t="shared" si="6"/>
        <v>#DIV/0!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t="e">
        <f>ROUND(D5*C22*C23*C44*C28*F41,0)</f>
        <v>#DIV/0!</v>
      </c>
      <c r="D41" s="2098"/>
      <c r="E41" s="171" t="e">
        <f t="shared" si="4"/>
        <v>#DIV/0!</v>
      </c>
      <c r="F41" s="175">
        <f>SUMIF(修正!A57:A68,G2,修正!F57:F68)</f>
        <v>0</v>
      </c>
      <c r="G41" s="171" t="e">
        <f>ROUND(IF(E2="工业",C41*$M$42,C41*$M$41),0)</f>
        <v>#DIV/0!</v>
      </c>
      <c r="H41" s="171">
        <f t="shared" si="5"/>
        <v>0</v>
      </c>
      <c r="I41" s="171" t="e">
        <f t="shared" si="6"/>
        <v>#DIV/0!</v>
      </c>
      <c r="J41" s="2114"/>
      <c r="L41" s="3358" t="s">
        <v>3270</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t="e">
        <f>ROUND(D5*C22*C23*C44*C28*F42,0)</f>
        <v>#DIV/0!</v>
      </c>
      <c r="D42" s="2103"/>
      <c r="E42" s="187" t="e">
        <f t="shared" si="4"/>
        <v>#DIV/0!</v>
      </c>
      <c r="F42" s="767">
        <f>SUMIF(修正!A57:A68,G2,修正!G57:G68)</f>
        <v>0</v>
      </c>
      <c r="G42" s="187" t="e">
        <f>ROUND(IF(E2="工业",C42*$M$42,C42*$M$41),0)</f>
        <v>#DIV/0!</v>
      </c>
      <c r="H42" s="187">
        <f t="shared" si="5"/>
        <v>0</v>
      </c>
      <c r="I42" s="187" t="e">
        <f t="shared" si="6"/>
        <v>#DIV/0!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t="e">
        <f>ROUND(POWER(1+E44,H44-G44)*(POWER(1+E44,G44)-1)/(POWER(1+E44,H44)-1),4)</f>
        <v>#DIV/0!</v>
      </c>
      <c r="D44" s="171" t="s">
        <v>1999</v>
      </c>
      <c r="E44" s="2153">
        <f>G24</f>
        <v>0</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63.75">
      <c r="A51" s="2130" t="s">
        <v>2053</v>
      </c>
      <c r="B51" s="2134" t="str">
        <f>估价对象房地状况!C18</f>
        <v>估价对象周边有75路、126路、675路、682路、991路等多条公交线路，距地铁6号线（青年路站）约400米，综合评价交通便捷度较好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c r="A52" s="3367" t="s">
        <v>3272</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c r="A54" s="2130" t="s">
        <v>2056</v>
      </c>
      <c r="B54" s="2134" t="str">
        <f>估价对象房地状况!C24</f>
        <v>城市主干道——朝阳北路</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c r="A56" s="2137" t="s">
        <v>2059</v>
      </c>
      <c r="B56" s="1326" t="str">
        <f>估价对象房地状况!C21</f>
        <v>估价对象所在区域公共配套设施齐备情况较好</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c r="A57" s="2137" t="s">
        <v>2060</v>
      </c>
      <c r="B57" s="2134" t="str">
        <f>估价对象房地状况!C22</f>
        <v>估价对象所在区域基础设施水平达七通</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51.75" thickBot="1">
      <c r="A58" s="2138" t="s">
        <v>2061</v>
      </c>
      <c r="B58" s="2139" t="str">
        <f>估价对象房地状况!C20</f>
        <v>区域自然环境：京城森林公园、红领巾公园、二道沟等；人文环境；四季体育馆；综合评价环境状况较好。</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63.75">
      <c r="A62" s="2130" t="s">
        <v>2053</v>
      </c>
      <c r="B62" s="2134" t="str">
        <f>估价对象房地状况!C18</f>
        <v>估价对象周边有75路、126路、675路、682路、991路等多条公交线路，距地铁6号线（青年路站）约400米，综合评价交通便捷度较好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c r="A63" s="3367" t="s">
        <v>3272</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c r="A65" s="2130" t="s">
        <v>2056</v>
      </c>
      <c r="B65" s="2134" t="str">
        <f>估价对象房地状况!C24</f>
        <v>城市主干道——朝阳北路</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c r="A67" s="2130" t="s">
        <v>2059</v>
      </c>
      <c r="B67" s="1326" t="str">
        <f>估价对象房地状况!C21</f>
        <v>估价对象所在区域公共配套设施齐备情况较好</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c r="A68" s="2130" t="s">
        <v>2060</v>
      </c>
      <c r="B68" s="1326" t="str">
        <f>估价对象房地状况!C22</f>
        <v>估价对象所在区域基础设施水平达七通</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51.75" thickBot="1">
      <c r="A69" s="2138" t="s">
        <v>2061</v>
      </c>
      <c r="B69" s="2140" t="str">
        <f>估价对象房地状况!C20</f>
        <v>区域自然环境：京城森林公园、红领巾公园、二道沟等；人文环境；四季体育馆；综合评价环境状况较好。</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76.5">
      <c r="A72" s="2130" t="s">
        <v>2066</v>
      </c>
      <c r="B72" s="2133" t="str">
        <f>估价对象房地状况!C15</f>
        <v>估价对象周边有润枫水尚、华纺易城、国美第一城、晨光家园、甘露园南里等居住小区，小区规模和社区发展完善程度较高，综合评价居住社区成熟度较好</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63.75">
      <c r="A73" s="2130" t="s">
        <v>2053</v>
      </c>
      <c r="B73" s="2134" t="str">
        <f>估价对象房地状况!C18</f>
        <v>估价对象周边有75路、126路、675路、682路、991路等多条公交线路，距地铁6号线（青年路站）约400米，综合评价交通便捷度较好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c r="A74" s="3367" t="s">
        <v>3272</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c r="A75" s="2130" t="s">
        <v>2067</v>
      </c>
      <c r="B75" s="2134" t="str">
        <f>估价对象房地状况!C24</f>
        <v>城市主干道——朝阳北路</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c r="A76" s="2130" t="s">
        <v>2059</v>
      </c>
      <c r="B76" s="1326" t="str">
        <f>估价对象房地状况!C21</f>
        <v>估价对象所在区域公共配套设施齐备情况较好</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c r="A77" s="2130" t="s">
        <v>2060</v>
      </c>
      <c r="B77" s="1326" t="str">
        <f>估价对象房地状况!C22</f>
        <v>估价对象所在区域基础设施水平达七通</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51">
      <c r="A79" s="2130" t="s">
        <v>2061</v>
      </c>
      <c r="B79" s="2133" t="str">
        <f>估价对象房地状况!C20</f>
        <v>区域自然环境：京城森林公园、红领巾公园、二道沟等；人文环境；四季体育馆；综合评价环境状况较好。</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c r="D83" s="1065">
        <f t="shared" ref="D83:D90" si="22">SUMIF($J$82:$N$82,C83,J83:N83)</f>
        <v>0</v>
      </c>
      <c r="E83" s="744">
        <f>ROUND(SUM(D83:D90),4)</f>
        <v>0</v>
      </c>
      <c r="F83" s="1814" t="str">
        <f>IF(E2="工业",SUMIF(L1:L12,G2,N1:N12),"——")</f>
        <v>——</v>
      </c>
      <c r="G83" s="1063"/>
      <c r="H83" s="1066" t="str">
        <f t="shared" ref="H83:H90" si="23">IFERROR(ROUNDDOWN($F$83*I83/2,4),"——")</f>
        <v>——</v>
      </c>
      <c r="I83" s="3365">
        <v>0.26</v>
      </c>
      <c r="J83" s="1064">
        <f t="shared" ref="J83:J90" si="24">K83+$G83</f>
        <v>0</v>
      </c>
      <c r="K83" s="1064">
        <f t="shared" ref="K83:K90" si="25">$L83+$G83</f>
        <v>0</v>
      </c>
      <c r="L83" s="1064">
        <v>0</v>
      </c>
      <c r="M83" s="1064">
        <f t="shared" ref="M83:N90" si="26">L83-$G83</f>
        <v>0</v>
      </c>
      <c r="N83" s="1064">
        <f t="shared" si="26"/>
        <v>0</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c r="D84" s="1065">
        <f t="shared" si="22"/>
        <v>0</v>
      </c>
      <c r="E84" s="747"/>
      <c r="F84" s="1814"/>
      <c r="G84" s="1063"/>
      <c r="H84" s="1066" t="str">
        <f t="shared" si="23"/>
        <v>——</v>
      </c>
      <c r="I84" s="3365">
        <v>0.3</v>
      </c>
      <c r="J84" s="1064">
        <f t="shared" si="24"/>
        <v>0</v>
      </c>
      <c r="K84" s="1064">
        <f t="shared" si="25"/>
        <v>0</v>
      </c>
      <c r="L84" s="1064">
        <v>0</v>
      </c>
      <c r="M84" s="1064">
        <f t="shared" si="26"/>
        <v>0</v>
      </c>
      <c r="N84" s="1064">
        <f t="shared" si="26"/>
        <v>0</v>
      </c>
      <c r="Z84" s="1998"/>
      <c r="AA84" s="2053"/>
      <c r="AG84" s="1121"/>
      <c r="AK84" s="2053"/>
    </row>
    <row r="85" spans="1:37" ht="36">
      <c r="A85" s="3367" t="s">
        <v>3273</v>
      </c>
      <c r="B85" s="2134">
        <f>估价对象房地状况!G17</f>
        <v>0</v>
      </c>
      <c r="C85" s="2044"/>
      <c r="D85" s="1065">
        <f t="shared" si="22"/>
        <v>0</v>
      </c>
      <c r="E85" s="747"/>
      <c r="F85" s="1814"/>
      <c r="G85" s="1063"/>
      <c r="H85" s="1066" t="str">
        <f t="shared" si="23"/>
        <v>——</v>
      </c>
      <c r="I85" s="3365">
        <v>0.1</v>
      </c>
      <c r="J85" s="1064">
        <f t="shared" si="24"/>
        <v>0</v>
      </c>
      <c r="K85" s="1064">
        <f t="shared" si="25"/>
        <v>0</v>
      </c>
      <c r="L85" s="1064">
        <v>0</v>
      </c>
      <c r="M85" s="1064">
        <f t="shared" si="26"/>
        <v>0</v>
      </c>
      <c r="N85" s="1064">
        <f t="shared" si="26"/>
        <v>0</v>
      </c>
      <c r="Z85" s="1998"/>
      <c r="AA85" s="2053"/>
      <c r="AG85" s="1121"/>
      <c r="AK85" s="2053"/>
    </row>
    <row r="86" spans="1:37" ht="14.25">
      <c r="A86" s="2130" t="s">
        <v>2067</v>
      </c>
      <c r="B86" s="2134">
        <f>估价对象房地状况!G22</f>
        <v>0</v>
      </c>
      <c r="C86" s="2044"/>
      <c r="D86" s="1065">
        <f t="shared" si="22"/>
        <v>0</v>
      </c>
      <c r="E86" s="747"/>
      <c r="F86" s="1814"/>
      <c r="G86" s="1063"/>
      <c r="H86" s="1066" t="str">
        <f t="shared" si="23"/>
        <v>——</v>
      </c>
      <c r="I86" s="3365">
        <v>0.05</v>
      </c>
      <c r="J86" s="1064">
        <f t="shared" si="24"/>
        <v>0</v>
      </c>
      <c r="K86" s="1064">
        <f t="shared" si="25"/>
        <v>0</v>
      </c>
      <c r="L86" s="1064">
        <v>0</v>
      </c>
      <c r="M86" s="1064">
        <f t="shared" si="26"/>
        <v>0</v>
      </c>
      <c r="N86" s="1064">
        <f t="shared" si="26"/>
        <v>0</v>
      </c>
      <c r="Z86" s="1998"/>
      <c r="AA86" s="2053"/>
      <c r="AG86" s="1121"/>
      <c r="AK86" s="2053"/>
    </row>
    <row r="87" spans="1:37" ht="25.5">
      <c r="A87" s="2130" t="s">
        <v>2059</v>
      </c>
      <c r="B87" s="1326" t="str">
        <f>估价对象房地状况!G19</f>
        <v>估价对象所在区域公共配套设施齐备情况</v>
      </c>
      <c r="C87" s="2044"/>
      <c r="D87" s="1065">
        <f t="shared" si="22"/>
        <v>0</v>
      </c>
      <c r="E87" s="747"/>
      <c r="F87" s="1814"/>
      <c r="G87" s="1063"/>
      <c r="H87" s="1066" t="str">
        <f t="shared" si="23"/>
        <v>——</v>
      </c>
      <c r="I87" s="3365">
        <v>0.06</v>
      </c>
      <c r="J87" s="1064">
        <f t="shared" si="24"/>
        <v>0</v>
      </c>
      <c r="K87" s="1064">
        <f t="shared" si="25"/>
        <v>0</v>
      </c>
      <c r="L87" s="1064">
        <v>0</v>
      </c>
      <c r="M87" s="1064">
        <f t="shared" si="26"/>
        <v>0</v>
      </c>
      <c r="N87" s="1064">
        <f t="shared" si="26"/>
        <v>0</v>
      </c>
    </row>
    <row r="88" spans="1:37" ht="25.5">
      <c r="A88" s="2130" t="s">
        <v>2060</v>
      </c>
      <c r="B88" s="1326" t="str">
        <f>估价对象房地状况!G20</f>
        <v>估价对象所在区域基础设施水平</v>
      </c>
      <c r="C88" s="2044"/>
      <c r="D88" s="1065">
        <f t="shared" si="22"/>
        <v>0</v>
      </c>
      <c r="E88" s="747"/>
      <c r="F88" s="1814"/>
      <c r="G88" s="1063"/>
      <c r="H88" s="1066" t="str">
        <f t="shared" si="23"/>
        <v>——</v>
      </c>
      <c r="I88" s="3365">
        <v>0.12</v>
      </c>
      <c r="J88" s="1064">
        <f t="shared" si="24"/>
        <v>0</v>
      </c>
      <c r="K88" s="1064">
        <f t="shared" si="25"/>
        <v>0</v>
      </c>
      <c r="L88" s="1064">
        <v>0</v>
      </c>
      <c r="M88" s="1064">
        <f t="shared" si="26"/>
        <v>0</v>
      </c>
      <c r="N88" s="1064">
        <f t="shared" si="26"/>
        <v>0</v>
      </c>
    </row>
    <row r="89" spans="1:37" ht="24">
      <c r="A89" s="2130" t="s">
        <v>2057</v>
      </c>
      <c r="B89" s="2136" t="s">
        <v>2071</v>
      </c>
      <c r="C89" s="2044"/>
      <c r="D89" s="1065">
        <f t="shared" si="22"/>
        <v>0</v>
      </c>
      <c r="E89" s="747"/>
      <c r="F89" s="1814"/>
      <c r="G89" s="1063"/>
      <c r="H89" s="1066" t="str">
        <f t="shared" si="23"/>
        <v>——</v>
      </c>
      <c r="I89" s="3365">
        <v>0.06</v>
      </c>
      <c r="J89" s="1064">
        <f t="shared" si="24"/>
        <v>0</v>
      </c>
      <c r="K89" s="1064">
        <f t="shared" si="25"/>
        <v>0</v>
      </c>
      <c r="L89" s="1064">
        <v>0</v>
      </c>
      <c r="M89" s="1064">
        <f t="shared" si="26"/>
        <v>0</v>
      </c>
      <c r="N89" s="1064">
        <f t="shared" si="26"/>
        <v>0</v>
      </c>
    </row>
    <row r="90" spans="1:37" ht="39" thickBot="1">
      <c r="A90" s="2138" t="s">
        <v>2072</v>
      </c>
      <c r="B90" s="2143" t="str">
        <f>估价对象房地状况!G18</f>
        <v>该园区内是否有污染型企业，绿化情况，卫生条件，整体环境状况判断</v>
      </c>
      <c r="C90" s="2044"/>
      <c r="D90" s="1065">
        <f t="shared" si="22"/>
        <v>0</v>
      </c>
      <c r="E90" s="748"/>
      <c r="F90" s="1814"/>
      <c r="G90" s="1063"/>
      <c r="H90" s="1066" t="str">
        <f t="shared" si="23"/>
        <v>——</v>
      </c>
      <c r="I90" s="3366">
        <v>0.05</v>
      </c>
      <c r="J90" s="1064">
        <f t="shared" si="24"/>
        <v>0</v>
      </c>
      <c r="K90" s="1064">
        <f t="shared" si="25"/>
        <v>0</v>
      </c>
      <c r="L90" s="1064">
        <v>0</v>
      </c>
      <c r="M90" s="1064">
        <f t="shared" si="26"/>
        <v>0</v>
      </c>
      <c r="N90" s="1064">
        <f t="shared" si="26"/>
        <v>0</v>
      </c>
    </row>
    <row r="91" spans="1:37" ht="15">
      <c r="A91" s="3375" t="s">
        <v>2613</v>
      </c>
      <c r="B91" s="3376">
        <f>1+E93</f>
        <v>1</v>
      </c>
      <c r="C91" s="3369"/>
      <c r="D91" s="3370"/>
      <c r="E91" s="1814"/>
      <c r="F91" s="1814"/>
      <c r="G91" s="3371"/>
      <c r="H91" s="3372"/>
      <c r="I91" s="3373"/>
      <c r="J91" s="3374"/>
      <c r="K91" s="3374"/>
      <c r="L91" s="3374"/>
      <c r="M91" s="3374"/>
      <c r="N91" s="3374"/>
    </row>
    <row r="92" spans="1:37" ht="24.75">
      <c r="A92" s="3377" t="s">
        <v>3274</v>
      </c>
      <c r="B92" s="3364"/>
      <c r="C92" s="3364" t="s">
        <v>3283</v>
      </c>
      <c r="D92" s="3364" t="s">
        <v>3284</v>
      </c>
      <c r="E92" s="3346" t="s">
        <v>3285</v>
      </c>
      <c r="F92" s="3379" t="s">
        <v>3286</v>
      </c>
      <c r="G92" s="3364" t="s">
        <v>3287</v>
      </c>
      <c r="H92" s="3386" t="s">
        <v>3290</v>
      </c>
      <c r="I92" s="3364" t="s">
        <v>3291</v>
      </c>
      <c r="J92" s="3387" t="s">
        <v>3292</v>
      </c>
      <c r="K92" s="3387" t="s">
        <v>3293</v>
      </c>
      <c r="L92" s="3387" t="s">
        <v>3294</v>
      </c>
      <c r="M92" s="3387" t="s">
        <v>3295</v>
      </c>
      <c r="N92" s="3387" t="s">
        <v>3296</v>
      </c>
    </row>
    <row r="93" spans="1:37" ht="24">
      <c r="A93" s="3367" t="s">
        <v>3275</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7">K93+$G93</f>
        <v>0</v>
      </c>
      <c r="K93" s="3343">
        <f t="shared" ref="K93:K101" si="28">$L93+$G93</f>
        <v>0</v>
      </c>
      <c r="L93" s="3343">
        <v>0</v>
      </c>
      <c r="M93" s="3343">
        <f t="shared" ref="M93:N101" si="29">L93-$G93</f>
        <v>0</v>
      </c>
      <c r="N93" s="3343">
        <f t="shared" si="29"/>
        <v>0</v>
      </c>
    </row>
    <row r="94" spans="1:37" ht="63.75">
      <c r="A94" s="3377" t="s">
        <v>3276</v>
      </c>
      <c r="B94" s="3368" t="str">
        <f>估价对象房地状况!C18</f>
        <v>估价对象周边有75路、126路、675路、682路、991路等多条公交线路，距地铁6号线（青年路站）约400米，综合评价交通便捷度较好</v>
      </c>
      <c r="C94" s="2044"/>
      <c r="D94" s="3364">
        <f t="shared" ref="D94:D101" si="30">SUMIF($J$60:$N$60,C94,J94:N94)</f>
        <v>0</v>
      </c>
      <c r="E94" s="3381"/>
      <c r="F94" s="1814"/>
      <c r="G94" s="3371"/>
      <c r="H94" s="3419" t="str">
        <f>IFERROR(ROUNDDOWN($F$93*I94/2,4),"——")</f>
        <v>——</v>
      </c>
      <c r="I94" s="3365">
        <v>0.26</v>
      </c>
      <c r="J94" s="3343">
        <f t="shared" si="27"/>
        <v>0</v>
      </c>
      <c r="K94" s="3343">
        <f t="shared" si="28"/>
        <v>0</v>
      </c>
      <c r="L94" s="3343">
        <v>0</v>
      </c>
      <c r="M94" s="3343">
        <f t="shared" si="29"/>
        <v>0</v>
      </c>
      <c r="N94" s="3343">
        <f t="shared" si="29"/>
        <v>0</v>
      </c>
    </row>
    <row r="95" spans="1:37" ht="36">
      <c r="A95" s="3367" t="s">
        <v>3272</v>
      </c>
      <c r="B95" s="3368">
        <f>估价对象房地状况!C19</f>
        <v>0</v>
      </c>
      <c r="C95" s="2044"/>
      <c r="D95" s="3364">
        <f t="shared" si="30"/>
        <v>0</v>
      </c>
      <c r="E95" s="3381"/>
      <c r="F95" s="1814"/>
      <c r="G95" s="3371"/>
      <c r="H95" s="3419" t="str">
        <f t="shared" ref="H95:H101" si="31">IFERROR(ROUNDDOWN($F$93*I95/2,4),"——")</f>
        <v>——</v>
      </c>
      <c r="I95" s="3365">
        <v>0.11</v>
      </c>
      <c r="J95" s="3343">
        <f t="shared" si="27"/>
        <v>0</v>
      </c>
      <c r="K95" s="3343">
        <f t="shared" si="28"/>
        <v>0</v>
      </c>
      <c r="L95" s="3343">
        <v>0</v>
      </c>
      <c r="M95" s="3343">
        <f t="shared" si="29"/>
        <v>0</v>
      </c>
      <c r="N95" s="3343">
        <f t="shared" si="29"/>
        <v>0</v>
      </c>
    </row>
    <row r="96" spans="1:37" ht="36.75">
      <c r="A96" s="3377" t="s">
        <v>3277</v>
      </c>
      <c r="B96" s="3383" t="s">
        <v>3288</v>
      </c>
      <c r="C96" s="2044"/>
      <c r="D96" s="3364">
        <f t="shared" si="30"/>
        <v>0</v>
      </c>
      <c r="E96" s="3381"/>
      <c r="F96" s="1814"/>
      <c r="G96" s="3371"/>
      <c r="H96" s="3419" t="str">
        <f t="shared" si="31"/>
        <v>——</v>
      </c>
      <c r="I96" s="3365">
        <v>0.05</v>
      </c>
      <c r="J96" s="3343">
        <f t="shared" si="27"/>
        <v>0</v>
      </c>
      <c r="K96" s="3343">
        <f t="shared" si="28"/>
        <v>0</v>
      </c>
      <c r="L96" s="3343">
        <v>0</v>
      </c>
      <c r="M96" s="3343">
        <f t="shared" si="29"/>
        <v>0</v>
      </c>
      <c r="N96" s="3343">
        <f t="shared" si="29"/>
        <v>0</v>
      </c>
    </row>
    <row r="97" spans="1:14" ht="24">
      <c r="A97" s="3377" t="s">
        <v>3278</v>
      </c>
      <c r="B97" s="3368" t="str">
        <f>估价对象房地状况!C24</f>
        <v>城市主干道——朝阳北路</v>
      </c>
      <c r="C97" s="2044"/>
      <c r="D97" s="3364">
        <f t="shared" si="30"/>
        <v>0</v>
      </c>
      <c r="E97" s="3381"/>
      <c r="F97" s="1814"/>
      <c r="G97" s="3371"/>
      <c r="H97" s="3419" t="str">
        <f t="shared" si="31"/>
        <v>——</v>
      </c>
      <c r="I97" s="3365">
        <v>0.05</v>
      </c>
      <c r="J97" s="3343">
        <f t="shared" si="27"/>
        <v>0</v>
      </c>
      <c r="K97" s="3343">
        <f t="shared" si="28"/>
        <v>0</v>
      </c>
      <c r="L97" s="3343">
        <v>0</v>
      </c>
      <c r="M97" s="3343">
        <f t="shared" si="29"/>
        <v>0</v>
      </c>
      <c r="N97" s="3343">
        <f t="shared" si="29"/>
        <v>0</v>
      </c>
    </row>
    <row r="98" spans="1:14" ht="24">
      <c r="A98" s="3377" t="s">
        <v>3279</v>
      </c>
      <c r="B98" s="3384" t="s">
        <v>3289</v>
      </c>
      <c r="C98" s="2044"/>
      <c r="D98" s="3364">
        <f t="shared" si="30"/>
        <v>0</v>
      </c>
      <c r="E98" s="3381"/>
      <c r="F98" s="1814"/>
      <c r="G98" s="3371"/>
      <c r="H98" s="3419" t="str">
        <f t="shared" si="31"/>
        <v>——</v>
      </c>
      <c r="I98" s="3365">
        <v>0.06</v>
      </c>
      <c r="J98" s="3343">
        <f t="shared" si="27"/>
        <v>0</v>
      </c>
      <c r="K98" s="3343">
        <f t="shared" si="28"/>
        <v>0</v>
      </c>
      <c r="L98" s="3343">
        <v>0</v>
      </c>
      <c r="M98" s="3343">
        <f t="shared" si="29"/>
        <v>0</v>
      </c>
      <c r="N98" s="3343">
        <f t="shared" si="29"/>
        <v>0</v>
      </c>
    </row>
    <row r="99" spans="1:14" ht="25.5">
      <c r="A99" s="3377" t="s">
        <v>3280</v>
      </c>
      <c r="B99" s="3368" t="str">
        <f>估价对象房地状况!C21</f>
        <v>估价对象所在区域公共配套设施齐备情况较好</v>
      </c>
      <c r="C99" s="2044"/>
      <c r="D99" s="3364">
        <f t="shared" si="30"/>
        <v>0</v>
      </c>
      <c r="E99" s="3381"/>
      <c r="F99" s="1814"/>
      <c r="G99" s="3371"/>
      <c r="H99" s="3419" t="str">
        <f t="shared" si="31"/>
        <v>——</v>
      </c>
      <c r="I99" s="3365">
        <v>0.06</v>
      </c>
      <c r="J99" s="3343">
        <f t="shared" si="27"/>
        <v>0</v>
      </c>
      <c r="K99" s="3343">
        <f t="shared" si="28"/>
        <v>0</v>
      </c>
      <c r="L99" s="3343">
        <v>0</v>
      </c>
      <c r="M99" s="3343">
        <f t="shared" si="29"/>
        <v>0</v>
      </c>
      <c r="N99" s="3343">
        <f t="shared" si="29"/>
        <v>0</v>
      </c>
    </row>
    <row r="100" spans="1:14" ht="25.5">
      <c r="A100" s="3377" t="s">
        <v>3281</v>
      </c>
      <c r="B100" s="3368" t="str">
        <f>估价对象房地状况!C22</f>
        <v>估价对象所在区域基础设施水平达七通</v>
      </c>
      <c r="C100" s="2044"/>
      <c r="D100" s="3364">
        <f t="shared" si="30"/>
        <v>0</v>
      </c>
      <c r="E100" s="3381"/>
      <c r="F100" s="1814"/>
      <c r="G100" s="3371"/>
      <c r="H100" s="3419" t="str">
        <f t="shared" si="31"/>
        <v>——</v>
      </c>
      <c r="I100" s="3365">
        <v>0.09</v>
      </c>
      <c r="J100" s="3343">
        <f t="shared" si="27"/>
        <v>0</v>
      </c>
      <c r="K100" s="3343">
        <f t="shared" si="28"/>
        <v>0</v>
      </c>
      <c r="L100" s="3343">
        <v>0</v>
      </c>
      <c r="M100" s="3343">
        <f t="shared" si="29"/>
        <v>0</v>
      </c>
      <c r="N100" s="3343">
        <f t="shared" si="29"/>
        <v>0</v>
      </c>
    </row>
    <row r="101" spans="1:14" ht="51.75" thickBot="1">
      <c r="A101" s="3378" t="s">
        <v>3282</v>
      </c>
      <c r="B101" s="3385" t="str">
        <f>估价对象房地状况!C20</f>
        <v>区域自然环境：京城森林公园、红领巾公园、二道沟等；人文环境；四季体育馆；综合评价环境状况较好。</v>
      </c>
      <c r="C101" s="2044"/>
      <c r="D101" s="3364">
        <f t="shared" si="30"/>
        <v>0</v>
      </c>
      <c r="E101" s="3382"/>
      <c r="F101" s="1814"/>
      <c r="G101" s="3371"/>
      <c r="H101" s="3419" t="str">
        <f t="shared" si="31"/>
        <v>——</v>
      </c>
      <c r="I101" s="3366">
        <v>7.0000000000000007E-2</v>
      </c>
      <c r="J101" s="3343">
        <f t="shared" si="27"/>
        <v>0</v>
      </c>
      <c r="K101" s="3343">
        <f t="shared" si="28"/>
        <v>0</v>
      </c>
      <c r="L101" s="3343">
        <v>0</v>
      </c>
      <c r="M101" s="3343">
        <f t="shared" si="29"/>
        <v>0</v>
      </c>
      <c r="N101" s="3343">
        <f t="shared" si="29"/>
        <v>0</v>
      </c>
    </row>
    <row r="103" spans="1:14">
      <c r="A103" s="3765" t="s">
        <v>3297</v>
      </c>
      <c r="B103" s="3765"/>
      <c r="C103" s="3765"/>
      <c r="D103" s="3765"/>
      <c r="E103" s="3765"/>
      <c r="F103" s="3765"/>
      <c r="G103" s="3765"/>
      <c r="H103" s="3765"/>
      <c r="I103" s="3765"/>
      <c r="J103" s="3765"/>
      <c r="K103" s="3388"/>
      <c r="L103" s="3388"/>
      <c r="M103" s="3388"/>
      <c r="N103" s="3388"/>
    </row>
    <row r="104" spans="1:14">
      <c r="A104" s="3766" t="s">
        <v>3298</v>
      </c>
      <c r="B104" s="3766" t="s">
        <v>3299</v>
      </c>
      <c r="C104" s="3389" t="s">
        <v>3300</v>
      </c>
      <c r="D104" s="3390"/>
      <c r="E104" s="3390"/>
      <c r="F104" s="3390"/>
      <c r="G104" s="3390"/>
      <c r="H104" s="3390"/>
      <c r="I104" s="3390"/>
      <c r="J104" s="3391"/>
      <c r="K104" s="3392"/>
      <c r="L104" s="3392"/>
      <c r="M104" s="3392"/>
      <c r="N104" s="3392"/>
    </row>
    <row r="105" spans="1:14">
      <c r="A105" s="3766"/>
      <c r="B105" s="3766"/>
      <c r="C105" s="3393" t="s">
        <v>3301</v>
      </c>
      <c r="D105" s="3393" t="s">
        <v>3302</v>
      </c>
      <c r="E105" s="3393" t="s">
        <v>3303</v>
      </c>
      <c r="F105" s="3393" t="s">
        <v>3304</v>
      </c>
      <c r="G105" s="3393" t="s">
        <v>3305</v>
      </c>
      <c r="H105" s="3393" t="s">
        <v>3306</v>
      </c>
      <c r="I105" s="3393" t="s">
        <v>3307</v>
      </c>
      <c r="J105" s="3393" t="s">
        <v>3308</v>
      </c>
      <c r="K105" s="3393" t="s">
        <v>3309</v>
      </c>
      <c r="L105" s="3393" t="s">
        <v>3310</v>
      </c>
      <c r="M105" s="3393" t="s">
        <v>3311</v>
      </c>
      <c r="N105" s="3393" t="s">
        <v>3312</v>
      </c>
    </row>
    <row r="106" spans="1:14">
      <c r="A106" s="3752" t="s">
        <v>3313</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53"/>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53"/>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53"/>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53"/>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53"/>
      <c r="B111" s="3393" t="s">
        <v>3271</v>
      </c>
      <c r="C111" s="3394">
        <f>$I$3</f>
        <v>0</v>
      </c>
      <c r="D111" s="3394">
        <f t="shared" ref="D111:M111" si="32">$I$3</f>
        <v>0</v>
      </c>
      <c r="E111" s="3394">
        <f t="shared" si="32"/>
        <v>0</v>
      </c>
      <c r="F111" s="3394">
        <f t="shared" si="32"/>
        <v>0</v>
      </c>
      <c r="G111" s="3394">
        <f t="shared" si="32"/>
        <v>0</v>
      </c>
      <c r="H111" s="3394">
        <f t="shared" si="32"/>
        <v>0</v>
      </c>
      <c r="I111" s="3394">
        <f t="shared" si="32"/>
        <v>0</v>
      </c>
      <c r="J111" s="3394">
        <f t="shared" si="32"/>
        <v>0</v>
      </c>
      <c r="K111" s="3394">
        <f t="shared" si="32"/>
        <v>0</v>
      </c>
      <c r="L111" s="3394">
        <f t="shared" si="32"/>
        <v>0</v>
      </c>
      <c r="M111" s="3394">
        <f t="shared" si="32"/>
        <v>0</v>
      </c>
      <c r="N111" s="3394">
        <f>$I$3</f>
        <v>0</v>
      </c>
    </row>
    <row r="112" spans="1:14">
      <c r="A112" s="3754"/>
      <c r="B112" s="3393">
        <v>6</v>
      </c>
      <c r="C112" s="3386">
        <f>(-0.5556*(C111^2)-0.2719*C111+8944)*(10^(-4))</f>
        <v>0.89440000000000008</v>
      </c>
      <c r="D112" s="3386">
        <f>(-0.5556*(D111^2)-0.2719*D111+8944)*(10^(-4))</f>
        <v>0.89440000000000008</v>
      </c>
      <c r="E112" s="3386">
        <f>(-0.7912*(E111^2)-11.3794*E111+8482)*(10^(-4))</f>
        <v>0.84820000000000007</v>
      </c>
      <c r="F112" s="3386">
        <f t="shared" ref="F112:I112" si="33">(-0.7912*(F111^2)-11.3794*F111+8482)*(10^(-4))</f>
        <v>0.84820000000000007</v>
      </c>
      <c r="G112" s="3386">
        <f t="shared" si="33"/>
        <v>0.84820000000000007</v>
      </c>
      <c r="H112" s="3386">
        <f t="shared" si="33"/>
        <v>0.84820000000000007</v>
      </c>
      <c r="I112" s="3386">
        <f t="shared" si="33"/>
        <v>0.84820000000000007</v>
      </c>
      <c r="J112" s="3386">
        <f>(-0.989*(J111^2)-63.78*J111+7771)*(10^(-4))</f>
        <v>0.77710000000000001</v>
      </c>
      <c r="K112" s="3386">
        <f t="shared" ref="K112:N112" si="34">(-0.989*(K111^2)-63.78*K111+7771)*(10^(-4))</f>
        <v>0.77710000000000001</v>
      </c>
      <c r="L112" s="3386">
        <f t="shared" si="34"/>
        <v>0.77710000000000001</v>
      </c>
      <c r="M112" s="3386">
        <f t="shared" si="34"/>
        <v>0.77710000000000001</v>
      </c>
      <c r="N112" s="3386">
        <f t="shared" si="34"/>
        <v>0.77710000000000001</v>
      </c>
    </row>
    <row r="113" spans="1:14">
      <c r="A113" s="3755" t="s">
        <v>3314</v>
      </c>
      <c r="B113" s="3755"/>
      <c r="C113" s="3755"/>
      <c r="D113" s="3755"/>
      <c r="E113" s="3755"/>
      <c r="F113" s="3755"/>
      <c r="G113" s="3755"/>
      <c r="H113" s="3755"/>
      <c r="I113" s="3755"/>
      <c r="J113" s="3755"/>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3315</v>
      </c>
      <c r="B116" s="3414">
        <f>G3</f>
        <v>0</v>
      </c>
      <c r="C116" s="3398" t="s">
        <v>3316</v>
      </c>
      <c r="D116" s="3399">
        <f>SUMPRODUCT((A118:A122=F116)*(B117:M117=H116)*B118:M122)</f>
        <v>0</v>
      </c>
      <c r="E116" s="2000" t="s">
        <v>3317</v>
      </c>
      <c r="F116" s="3400">
        <f>E2</f>
        <v>0</v>
      </c>
      <c r="G116" s="2000" t="s">
        <v>3318</v>
      </c>
      <c r="H116" s="3400">
        <f>G2</f>
        <v>0</v>
      </c>
      <c r="I116" s="2000"/>
      <c r="J116" s="3401"/>
      <c r="K116" s="3401"/>
      <c r="L116" s="3401"/>
      <c r="M116" s="3401"/>
      <c r="N116" s="3396"/>
    </row>
    <row r="117" spans="1:14">
      <c r="A117" s="3402"/>
      <c r="B117" s="3403" t="s">
        <v>3319</v>
      </c>
      <c r="C117" s="3403" t="s">
        <v>3320</v>
      </c>
      <c r="D117" s="3403" t="s">
        <v>3321</v>
      </c>
      <c r="E117" s="3404" t="s">
        <v>3322</v>
      </c>
      <c r="F117" s="3404" t="s">
        <v>3323</v>
      </c>
      <c r="G117" s="3404" t="s">
        <v>3324</v>
      </c>
      <c r="H117" s="3405" t="s">
        <v>3325</v>
      </c>
      <c r="I117" s="3405" t="s">
        <v>3326</v>
      </c>
      <c r="J117" s="3406" t="s">
        <v>3327</v>
      </c>
      <c r="K117" s="3406" t="s">
        <v>3328</v>
      </c>
      <c r="L117" s="3406" t="s">
        <v>3329</v>
      </c>
      <c r="M117" s="3407" t="s">
        <v>3330</v>
      </c>
      <c r="N117" s="3396"/>
    </row>
    <row r="118" spans="1:14">
      <c r="A118" s="3408" t="s">
        <v>3331</v>
      </c>
      <c r="B118" s="3386">
        <f>ROUND(0.9968-0.011*B116,4)</f>
        <v>0.99680000000000002</v>
      </c>
      <c r="C118" s="3386">
        <f>B118</f>
        <v>0.99680000000000002</v>
      </c>
      <c r="D118" s="3386">
        <f>ROUND(0.949-0.014*B116,4)</f>
        <v>0.94899999999999995</v>
      </c>
      <c r="E118" s="3386">
        <f>D118</f>
        <v>0.94899999999999995</v>
      </c>
      <c r="F118" s="3386">
        <f>E118</f>
        <v>0.94899999999999995</v>
      </c>
      <c r="G118" s="3386">
        <f>F118</f>
        <v>0.94899999999999995</v>
      </c>
      <c r="H118" s="3386">
        <f>G118</f>
        <v>0.94899999999999995</v>
      </c>
      <c r="I118" s="3386">
        <f>ROUND(0.8486-0.018*B116,4)</f>
        <v>0.84860000000000002</v>
      </c>
      <c r="J118" s="3386">
        <f t="shared" ref="J118:M122" si="35">I118</f>
        <v>0.84860000000000002</v>
      </c>
      <c r="K118" s="3386">
        <f t="shared" si="35"/>
        <v>0.84860000000000002</v>
      </c>
      <c r="L118" s="3386">
        <f t="shared" si="35"/>
        <v>0.84860000000000002</v>
      </c>
      <c r="M118" s="3409">
        <f t="shared" si="35"/>
        <v>0.84860000000000002</v>
      </c>
      <c r="N118" s="3396"/>
    </row>
    <row r="119" spans="1:14">
      <c r="A119" s="3408" t="s">
        <v>3332</v>
      </c>
      <c r="B119" s="3386">
        <f>ROUND(0.993-0.0112*B116,4)</f>
        <v>0.99299999999999999</v>
      </c>
      <c r="C119" s="3386">
        <f>B119</f>
        <v>0.99299999999999999</v>
      </c>
      <c r="D119" s="3386">
        <f>ROUND(0.9415-0.0142*B116,4)</f>
        <v>0.9415</v>
      </c>
      <c r="E119" s="3386">
        <f t="shared" ref="E119:H120" si="36">D119</f>
        <v>0.9415</v>
      </c>
      <c r="F119" s="3386">
        <f t="shared" si="36"/>
        <v>0.9415</v>
      </c>
      <c r="G119" s="3386">
        <f t="shared" si="36"/>
        <v>0.9415</v>
      </c>
      <c r="H119" s="3386">
        <f t="shared" si="36"/>
        <v>0.9415</v>
      </c>
      <c r="I119" s="3386">
        <f>ROUND(0.838-0.0182*B116,4)</f>
        <v>0.83799999999999997</v>
      </c>
      <c r="J119" s="3386">
        <f t="shared" si="35"/>
        <v>0.83799999999999997</v>
      </c>
      <c r="K119" s="3386">
        <f t="shared" si="35"/>
        <v>0.83799999999999997</v>
      </c>
      <c r="L119" s="3386">
        <f t="shared" si="35"/>
        <v>0.83799999999999997</v>
      </c>
      <c r="M119" s="3409">
        <f t="shared" si="35"/>
        <v>0.83799999999999997</v>
      </c>
      <c r="N119" s="3396"/>
    </row>
    <row r="120" spans="1:14">
      <c r="A120" s="3408" t="s">
        <v>3333</v>
      </c>
      <c r="B120" s="3386">
        <f>ROUND(0.9448-0.0115*B116,4)</f>
        <v>0.94479999999999997</v>
      </c>
      <c r="C120" s="3386">
        <f>B120</f>
        <v>0.94479999999999997</v>
      </c>
      <c r="D120" s="3386">
        <f>ROUND(0.937-0.0145*B116,4)</f>
        <v>0.93700000000000006</v>
      </c>
      <c r="E120" s="3386">
        <f t="shared" si="36"/>
        <v>0.93700000000000006</v>
      </c>
      <c r="F120" s="3386">
        <f t="shared" si="36"/>
        <v>0.93700000000000006</v>
      </c>
      <c r="G120" s="3386">
        <f t="shared" si="36"/>
        <v>0.93700000000000006</v>
      </c>
      <c r="H120" s="3386">
        <f t="shared" si="36"/>
        <v>0.93700000000000006</v>
      </c>
      <c r="I120" s="3386">
        <f>ROUND(0.7965-0.0185*B116,4)</f>
        <v>0.79649999999999999</v>
      </c>
      <c r="J120" s="3386">
        <f t="shared" si="35"/>
        <v>0.79649999999999999</v>
      </c>
      <c r="K120" s="3386">
        <f t="shared" si="35"/>
        <v>0.79649999999999999</v>
      </c>
      <c r="L120" s="3386">
        <f t="shared" si="35"/>
        <v>0.79649999999999999</v>
      </c>
      <c r="M120" s="3409">
        <f t="shared" si="35"/>
        <v>0.79649999999999999</v>
      </c>
      <c r="N120" s="3396"/>
    </row>
    <row r="121" spans="1:14" ht="13.5" thickBot="1">
      <c r="A121" s="3410" t="s">
        <v>3334</v>
      </c>
      <c r="B121" s="3411">
        <f>ROUND(0.7836-0.012*B116,4)</f>
        <v>0.78359999999999996</v>
      </c>
      <c r="C121" s="3411">
        <f>B121</f>
        <v>0.78359999999999996</v>
      </c>
      <c r="D121" s="3411">
        <f>ROUND(0.753-0.015*B116,4)</f>
        <v>0.753</v>
      </c>
      <c r="E121" s="3411">
        <f>D121</f>
        <v>0.753</v>
      </c>
      <c r="F121" s="3411">
        <f>E121</f>
        <v>0.753</v>
      </c>
      <c r="G121" s="3411">
        <f>ROUND(0.6612-0.018*B116,4)</f>
        <v>0.66120000000000001</v>
      </c>
      <c r="H121" s="3411">
        <f>G121</f>
        <v>0.66120000000000001</v>
      </c>
      <c r="I121" s="3411">
        <f>ROUND(0.5905-0.019*B116,4)</f>
        <v>0.59050000000000002</v>
      </c>
      <c r="J121" s="3411">
        <f t="shared" si="35"/>
        <v>0.59050000000000002</v>
      </c>
      <c r="K121" s="3411">
        <f t="shared" si="35"/>
        <v>0.59050000000000002</v>
      </c>
      <c r="L121" s="3411">
        <f t="shared" si="35"/>
        <v>0.59050000000000002</v>
      </c>
      <c r="M121" s="3412">
        <f t="shared" si="35"/>
        <v>0.59050000000000002</v>
      </c>
      <c r="N121" s="3396"/>
    </row>
    <row r="122" spans="1:14">
      <c r="A122" s="3413" t="s">
        <v>2613</v>
      </c>
      <c r="B122" s="3386">
        <f>ROUND(0.9404-0.0106*B116,4)</f>
        <v>0.94040000000000001</v>
      </c>
      <c r="C122" s="3386">
        <f>B122</f>
        <v>0.94040000000000001</v>
      </c>
      <c r="D122" s="3386">
        <f>ROUND(0.8955-0.0135*B116,4)</f>
        <v>0.89549999999999996</v>
      </c>
      <c r="E122" s="3386">
        <f t="shared" ref="E122:H122" si="37">D122</f>
        <v>0.89549999999999996</v>
      </c>
      <c r="F122" s="3386">
        <f t="shared" si="37"/>
        <v>0.89549999999999996</v>
      </c>
      <c r="G122" s="3386">
        <f t="shared" si="37"/>
        <v>0.89549999999999996</v>
      </c>
      <c r="H122" s="3386">
        <f t="shared" si="37"/>
        <v>0.89549999999999996</v>
      </c>
      <c r="I122" s="3386">
        <f>ROUND(0.7632-0.0166*B116,4)</f>
        <v>0.76319999999999999</v>
      </c>
      <c r="J122" s="3386">
        <f t="shared" si="35"/>
        <v>0.76319999999999999</v>
      </c>
      <c r="K122" s="3386">
        <f t="shared" si="35"/>
        <v>0.76319999999999999</v>
      </c>
      <c r="L122" s="3386">
        <f t="shared" si="35"/>
        <v>0.76319999999999999</v>
      </c>
      <c r="M122" s="3409">
        <f t="shared" si="35"/>
        <v>0.76319999999999999</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400-000000000000}">
      <formula1>"500米范围内,500-1000米,1000米以外"</formula1>
    </dataValidation>
    <dataValidation type="list" allowBlank="1" showInputMessage="1" showErrorMessage="1" sqref="C15:D15" xr:uid="{00000000-0002-0000-2400-000001000000}">
      <formula1>"有,无"</formula1>
    </dataValidation>
    <dataValidation type="list" allowBlank="1" showInputMessage="1" showErrorMessage="1" sqref="B25" xr:uid="{00000000-0002-0000-2400-000002000000}">
      <formula1>"容积率修正,楼层修正"</formula1>
    </dataValidation>
    <dataValidation type="list" allowBlank="1" showInputMessage="1" showErrorMessage="1" sqref="F21" xr:uid="{00000000-0002-0000-2400-000003000000}">
      <formula1>"与级别开发程度一致,与级别开发程度不一致"</formula1>
    </dataValidation>
    <dataValidation type="list" allowBlank="1" showInputMessage="1" showErrorMessage="1" sqref="E2" xr:uid="{00000000-0002-0000-2400-000004000000}">
      <formula1>"商业,办公,住宅,工业,公共服务"</formula1>
    </dataValidation>
    <dataValidation type="list" allowBlank="1" showInputMessage="1" showErrorMessage="1" sqref="F3" xr:uid="{00000000-0002-0000-2400-000005000000}">
      <formula1>"宗地容积率,估价对象容积率,自定义容积率"</formula1>
    </dataValidation>
    <dataValidation type="list" allowBlank="1" showInputMessage="1" showErrorMessage="1" sqref="C8" xr:uid="{00000000-0002-0000-2400-000006000000}">
      <formula1>商业街名称</formula1>
    </dataValidation>
    <dataValidation type="list" allowBlank="1" showInputMessage="1" showErrorMessage="1" sqref="E3" xr:uid="{00000000-0002-0000-2400-000007000000}">
      <formula1>二级分类</formula1>
    </dataValidation>
    <dataValidation type="list" allowBlank="1" showInputMessage="1" showErrorMessage="1" sqref="C61:C69 C72:C80 C50:C58 C83:C91 C93:C101" xr:uid="{00000000-0002-0000-2400-000008000000}">
      <formula1>五等判定</formula1>
    </dataValidation>
    <dataValidation type="list" allowBlank="1" showInputMessage="1" showErrorMessage="1" sqref="H23" xr:uid="{00000000-0002-0000-2400-000009000000}">
      <formula1>"地价指数,季度增幅（自定义）,按公示增长率计算"</formula1>
    </dataValidation>
    <dataValidation type="list" allowBlank="1" showInputMessage="1" showErrorMessage="1" sqref="H20:O20" xr:uid="{00000000-0002-0000-2400-00000A000000}">
      <formula1>七通一平</formula1>
    </dataValidation>
    <dataValidation type="list" allowBlank="1" showInputMessage="1" showErrorMessage="1" sqref="J23" xr:uid="{00000000-0002-0000-24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80" t="s">
        <v>2608</v>
      </c>
      <c r="B20" s="3775" t="s">
        <v>2629</v>
      </c>
      <c r="C20" s="3101" t="s">
        <v>2440</v>
      </c>
      <c r="D20" s="3102"/>
      <c r="E20" s="3103">
        <v>1</v>
      </c>
      <c r="F20" s="3104" t="s">
        <v>2441</v>
      </c>
      <c r="G20" s="3104"/>
    </row>
    <row r="21" spans="1:13" ht="19.5" customHeight="1">
      <c r="A21" s="3781"/>
      <c r="B21" s="3774"/>
      <c r="C21" s="3105" t="s">
        <v>2442</v>
      </c>
      <c r="D21" s="3106"/>
      <c r="E21" s="3107">
        <v>1</v>
      </c>
      <c r="F21" s="3104" t="s">
        <v>2443</v>
      </c>
      <c r="G21" s="3104"/>
    </row>
    <row r="22" spans="1:13" ht="19.5" customHeight="1">
      <c r="A22" s="3781"/>
      <c r="B22" s="3774"/>
      <c r="C22" s="3105" t="s">
        <v>2444</v>
      </c>
      <c r="D22" s="3106"/>
      <c r="E22" s="3107">
        <v>0.9</v>
      </c>
      <c r="F22" s="3104" t="s">
        <v>2445</v>
      </c>
      <c r="G22" s="3104"/>
    </row>
    <row r="23" spans="1:13" ht="19.5" customHeight="1">
      <c r="A23" s="3781"/>
      <c r="B23" s="3774"/>
      <c r="C23" s="3105" t="s">
        <v>2446</v>
      </c>
      <c r="D23" s="3106"/>
      <c r="E23" s="3107">
        <v>0.9</v>
      </c>
      <c r="F23" s="3104" t="s">
        <v>2447</v>
      </c>
      <c r="G23" s="3104"/>
    </row>
    <row r="24" spans="1:13" ht="19.5" customHeight="1">
      <c r="A24" s="3781"/>
      <c r="B24" s="3774"/>
      <c r="C24" s="3105" t="s">
        <v>2448</v>
      </c>
      <c r="D24" s="3106"/>
      <c r="E24" s="3107">
        <v>0.8</v>
      </c>
      <c r="F24" s="3104" t="s">
        <v>2449</v>
      </c>
      <c r="G24" s="3104"/>
    </row>
    <row r="25" spans="1:13" ht="19.5" customHeight="1" thickBot="1">
      <c r="A25" s="3782"/>
      <c r="B25" s="3776"/>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77" t="s">
        <v>2632</v>
      </c>
      <c r="B27" s="3775" t="s">
        <v>2613</v>
      </c>
      <c r="C27" s="3101" t="s">
        <v>2453</v>
      </c>
      <c r="D27" s="3102"/>
      <c r="E27" s="3103">
        <v>1</v>
      </c>
      <c r="F27" s="3104" t="s">
        <v>2454</v>
      </c>
      <c r="G27" s="3104"/>
    </row>
    <row r="28" spans="1:13" ht="19.5" customHeight="1">
      <c r="A28" s="3778"/>
      <c r="B28" s="3774"/>
      <c r="C28" s="3105" t="s">
        <v>2455</v>
      </c>
      <c r="D28" s="3106"/>
      <c r="E28" s="3107">
        <v>1</v>
      </c>
      <c r="F28" s="3104" t="s">
        <v>2456</v>
      </c>
      <c r="G28" s="3104"/>
    </row>
    <row r="29" spans="1:13" ht="19.5" customHeight="1">
      <c r="A29" s="3778"/>
      <c r="B29" s="3774"/>
      <c r="C29" s="3105" t="s">
        <v>2457</v>
      </c>
      <c r="D29" s="3106"/>
      <c r="E29" s="3107">
        <v>0.8</v>
      </c>
      <c r="F29" s="3104" t="s">
        <v>2458</v>
      </c>
      <c r="G29" s="3104"/>
    </row>
    <row r="30" spans="1:13" ht="19.5" customHeight="1">
      <c r="A30" s="3778"/>
      <c r="B30" s="3774"/>
      <c r="C30" s="3105" t="s">
        <v>2459</v>
      </c>
      <c r="D30" s="3106"/>
      <c r="E30" s="3107">
        <v>0.8</v>
      </c>
      <c r="F30" s="3104" t="s">
        <v>2460</v>
      </c>
      <c r="G30" s="3104"/>
    </row>
    <row r="31" spans="1:13" ht="19.5" customHeight="1">
      <c r="A31" s="3778"/>
      <c r="B31" s="3774"/>
      <c r="C31" s="3105" t="s">
        <v>2461</v>
      </c>
      <c r="D31" s="3106"/>
      <c r="E31" s="3107">
        <v>0.8</v>
      </c>
      <c r="F31" s="3104" t="s">
        <v>2462</v>
      </c>
      <c r="G31" s="3104"/>
    </row>
    <row r="32" spans="1:13" ht="19.5" customHeight="1">
      <c r="A32" s="3778"/>
      <c r="B32" s="3774"/>
      <c r="C32" s="3105" t="s">
        <v>2463</v>
      </c>
      <c r="D32" s="3106"/>
      <c r="E32" s="3107">
        <v>0.7</v>
      </c>
      <c r="F32" s="3104" t="s">
        <v>2464</v>
      </c>
      <c r="G32" s="3104"/>
    </row>
    <row r="33" spans="1:7" ht="19.5" customHeight="1">
      <c r="A33" s="3778"/>
      <c r="B33" s="3774"/>
      <c r="C33" s="3105" t="s">
        <v>2465</v>
      </c>
      <c r="D33" s="3106"/>
      <c r="E33" s="3107">
        <v>0.8</v>
      </c>
      <c r="F33" s="3104" t="s">
        <v>2466</v>
      </c>
      <c r="G33" s="3104"/>
    </row>
    <row r="34" spans="1:7" ht="19.5" customHeight="1">
      <c r="A34" s="3778"/>
      <c r="B34" s="3774"/>
      <c r="C34" s="3105" t="s">
        <v>2467</v>
      </c>
      <c r="D34" s="3106"/>
      <c r="E34" s="3107">
        <v>0.6</v>
      </c>
      <c r="F34" s="3104" t="s">
        <v>2468</v>
      </c>
      <c r="G34" s="3104"/>
    </row>
    <row r="35" spans="1:7" ht="19.5" customHeight="1">
      <c r="A35" s="3778"/>
      <c r="B35" s="3774"/>
      <c r="C35" s="3105" t="s">
        <v>2469</v>
      </c>
      <c r="D35" s="3106"/>
      <c r="E35" s="3107">
        <v>0.2</v>
      </c>
      <c r="F35" s="3104" t="s">
        <v>2470</v>
      </c>
      <c r="G35" s="3104"/>
    </row>
    <row r="36" spans="1:7" ht="19.5" customHeight="1">
      <c r="A36" s="3778"/>
      <c r="B36" s="3774"/>
      <c r="C36" s="3105" t="s">
        <v>2471</v>
      </c>
      <c r="D36" s="3106"/>
      <c r="E36" s="3107">
        <v>0.2</v>
      </c>
      <c r="F36" s="3104" t="s">
        <v>2472</v>
      </c>
      <c r="G36" s="3104"/>
    </row>
    <row r="37" spans="1:7" ht="19.5" customHeight="1">
      <c r="A37" s="3778"/>
      <c r="B37" s="3772" t="s">
        <v>2633</v>
      </c>
      <c r="C37" s="3105" t="s">
        <v>2473</v>
      </c>
      <c r="D37" s="3106"/>
      <c r="E37" s="3107">
        <v>0.6</v>
      </c>
      <c r="F37" s="3104" t="s">
        <v>2474</v>
      </c>
      <c r="G37" s="3104"/>
    </row>
    <row r="38" spans="1:7" ht="19.5" customHeight="1">
      <c r="A38" s="3778"/>
      <c r="B38" s="3774"/>
      <c r="C38" s="3105" t="s">
        <v>2475</v>
      </c>
      <c r="D38" s="3106"/>
      <c r="E38" s="3107">
        <v>0.6</v>
      </c>
      <c r="F38" s="3104" t="s">
        <v>2476</v>
      </c>
      <c r="G38" s="3104"/>
    </row>
    <row r="39" spans="1:7" ht="19.5" customHeight="1" thickBot="1">
      <c r="A39" s="3779"/>
      <c r="B39" s="3776"/>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80" t="s">
        <v>2611</v>
      </c>
      <c r="B41" s="3775" t="s">
        <v>2635</v>
      </c>
      <c r="C41" s="3101" t="s">
        <v>2480</v>
      </c>
      <c r="D41" s="3102"/>
      <c r="E41" s="3103">
        <v>1</v>
      </c>
      <c r="F41" s="3104" t="s">
        <v>2481</v>
      </c>
      <c r="G41" s="3104"/>
    </row>
    <row r="42" spans="1:7" ht="19.5" customHeight="1">
      <c r="A42" s="3781"/>
      <c r="B42" s="3774"/>
      <c r="C42" s="3105" t="s">
        <v>2482</v>
      </c>
      <c r="D42" s="3106"/>
      <c r="E42" s="3107">
        <v>1</v>
      </c>
      <c r="F42" s="3104" t="s">
        <v>2483</v>
      </c>
      <c r="G42" s="3104"/>
    </row>
    <row r="43" spans="1:7" ht="19.5" customHeight="1">
      <c r="A43" s="3781"/>
      <c r="B43" s="3773"/>
      <c r="C43" s="3105" t="s">
        <v>2484</v>
      </c>
      <c r="D43" s="3106"/>
      <c r="E43" s="3107">
        <v>1.5</v>
      </c>
      <c r="F43" s="3104" t="s">
        <v>2485</v>
      </c>
      <c r="G43" s="3104"/>
    </row>
    <row r="44" spans="1:7" ht="19.5" customHeight="1">
      <c r="A44" s="3781"/>
      <c r="B44" s="3116" t="s">
        <v>2636</v>
      </c>
      <c r="C44" s="3105" t="s">
        <v>2637</v>
      </c>
      <c r="D44" s="3106"/>
      <c r="E44" s="3107">
        <v>2</v>
      </c>
      <c r="F44" s="3104" t="s">
        <v>2486</v>
      </c>
      <c r="G44" s="3104"/>
    </row>
    <row r="45" spans="1:7" ht="19.5" customHeight="1">
      <c r="A45" s="3781"/>
      <c r="B45" s="3772" t="s">
        <v>2638</v>
      </c>
      <c r="C45" s="3105" t="s">
        <v>2487</v>
      </c>
      <c r="D45" s="3106"/>
      <c r="E45" s="3107">
        <v>1</v>
      </c>
      <c r="F45" s="3104" t="s">
        <v>2488</v>
      </c>
      <c r="G45" s="3104"/>
    </row>
    <row r="46" spans="1:7" ht="19.5" customHeight="1">
      <c r="A46" s="3781"/>
      <c r="B46" s="3774"/>
      <c r="C46" s="3105" t="s">
        <v>2489</v>
      </c>
      <c r="D46" s="3106"/>
      <c r="E46" s="3107">
        <v>1</v>
      </c>
      <c r="F46" s="3104" t="s">
        <v>2490</v>
      </c>
      <c r="G46" s="3104"/>
    </row>
    <row r="47" spans="1:7" ht="19.5" customHeight="1">
      <c r="A47" s="3781"/>
      <c r="B47" s="3774"/>
      <c r="C47" s="3105" t="s">
        <v>2491</v>
      </c>
      <c r="D47" s="3106"/>
      <c r="E47" s="3107">
        <v>1</v>
      </c>
      <c r="F47" s="3104" t="s">
        <v>2492</v>
      </c>
      <c r="G47" s="3104"/>
    </row>
    <row r="48" spans="1:7" ht="19.5" customHeight="1">
      <c r="A48" s="3781"/>
      <c r="B48" s="3774"/>
      <c r="C48" s="3105" t="s">
        <v>2493</v>
      </c>
      <c r="D48" s="3106"/>
      <c r="E48" s="3107">
        <v>1</v>
      </c>
      <c r="F48" s="3104" t="s">
        <v>2494</v>
      </c>
      <c r="G48" s="3104"/>
    </row>
    <row r="49" spans="1:7" ht="19.5" customHeight="1">
      <c r="A49" s="3781"/>
      <c r="B49" s="3774"/>
      <c r="C49" s="3105" t="s">
        <v>2495</v>
      </c>
      <c r="D49" s="3106"/>
      <c r="E49" s="3107">
        <v>1</v>
      </c>
      <c r="F49" s="3104" t="s">
        <v>2496</v>
      </c>
      <c r="G49" s="3104"/>
    </row>
    <row r="50" spans="1:7" ht="19.5" customHeight="1">
      <c r="A50" s="3781"/>
      <c r="B50" s="3774"/>
      <c r="C50" s="3105" t="s">
        <v>2497</v>
      </c>
      <c r="D50" s="3106"/>
      <c r="E50" s="3107">
        <v>1</v>
      </c>
      <c r="F50" s="3104" t="s">
        <v>2498</v>
      </c>
      <c r="G50" s="3104"/>
    </row>
    <row r="51" spans="1:7" ht="19.5" customHeight="1" thickBot="1">
      <c r="A51" s="3782"/>
      <c r="B51" s="3776"/>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72" t="s">
        <v>2652</v>
      </c>
      <c r="C73" s="3090" t="s">
        <v>2653</v>
      </c>
      <c r="D73" s="3090" t="s">
        <v>2654</v>
      </c>
      <c r="E73" s="3116">
        <v>0.2</v>
      </c>
      <c r="F73" s="3116">
        <v>25</v>
      </c>
    </row>
    <row r="74" spans="1:7" ht="24">
      <c r="A74" s="3116">
        <v>2</v>
      </c>
      <c r="B74" s="3774"/>
      <c r="C74" s="3090" t="s">
        <v>2655</v>
      </c>
      <c r="D74" s="3090" t="s">
        <v>2656</v>
      </c>
      <c r="E74" s="3116">
        <v>0.2</v>
      </c>
      <c r="F74" s="3116">
        <v>25</v>
      </c>
    </row>
    <row r="75" spans="1:7" ht="24">
      <c r="A75" s="3116">
        <v>3</v>
      </c>
      <c r="B75" s="3774"/>
      <c r="C75" s="3090" t="s">
        <v>2657</v>
      </c>
      <c r="D75" s="3090" t="s">
        <v>2658</v>
      </c>
      <c r="E75" s="3116">
        <v>0.2</v>
      </c>
      <c r="F75" s="3116">
        <v>25</v>
      </c>
    </row>
    <row r="76" spans="1:7" ht="13.5">
      <c r="A76" s="3116">
        <v>4</v>
      </c>
      <c r="B76" s="3774"/>
      <c r="C76" s="3090" t="s">
        <v>2659</v>
      </c>
      <c r="D76" s="3090" t="s">
        <v>2660</v>
      </c>
      <c r="E76" s="3116">
        <v>0.15</v>
      </c>
      <c r="F76" s="3116">
        <v>20</v>
      </c>
    </row>
    <row r="77" spans="1:7" ht="24">
      <c r="A77" s="3116">
        <v>5</v>
      </c>
      <c r="B77" s="3774"/>
      <c r="C77" s="3090" t="s">
        <v>2661</v>
      </c>
      <c r="D77" s="3090" t="s">
        <v>2662</v>
      </c>
      <c r="E77" s="3116">
        <v>0.15</v>
      </c>
      <c r="F77" s="3116">
        <v>20</v>
      </c>
    </row>
    <row r="78" spans="1:7" ht="24">
      <c r="A78" s="3116">
        <v>6</v>
      </c>
      <c r="B78" s="3774"/>
      <c r="C78" s="3090" t="s">
        <v>2663</v>
      </c>
      <c r="D78" s="3090" t="s">
        <v>2664</v>
      </c>
      <c r="E78" s="3116">
        <v>0.15</v>
      </c>
      <c r="F78" s="3116">
        <v>20</v>
      </c>
    </row>
    <row r="79" spans="1:7" ht="24">
      <c r="A79" s="3116">
        <v>7</v>
      </c>
      <c r="B79" s="3774"/>
      <c r="C79" s="3090" t="s">
        <v>2665</v>
      </c>
      <c r="D79" s="3090" t="s">
        <v>2666</v>
      </c>
      <c r="E79" s="3116">
        <v>0.15</v>
      </c>
      <c r="F79" s="3116">
        <v>20</v>
      </c>
    </row>
    <row r="80" spans="1:7" ht="24">
      <c r="A80" s="3116">
        <v>8</v>
      </c>
      <c r="B80" s="3774"/>
      <c r="C80" s="3090" t="s">
        <v>2667</v>
      </c>
      <c r="D80" s="3090" t="s">
        <v>2668</v>
      </c>
      <c r="E80" s="3116">
        <v>0.1</v>
      </c>
      <c r="F80" s="3116">
        <v>15</v>
      </c>
    </row>
    <row r="81" spans="1:6" ht="24">
      <c r="A81" s="3116">
        <v>9</v>
      </c>
      <c r="B81" s="3774"/>
      <c r="C81" s="3090" t="s">
        <v>2669</v>
      </c>
      <c r="D81" s="3090" t="s">
        <v>2670</v>
      </c>
      <c r="E81" s="3116">
        <v>0.1</v>
      </c>
      <c r="F81" s="3116">
        <v>15</v>
      </c>
    </row>
    <row r="82" spans="1:6" ht="24">
      <c r="A82" s="3116">
        <v>10</v>
      </c>
      <c r="B82" s="3774"/>
      <c r="C82" s="3090" t="s">
        <v>2671</v>
      </c>
      <c r="D82" s="3090" t="s">
        <v>2672</v>
      </c>
      <c r="E82" s="3116">
        <v>0.1</v>
      </c>
      <c r="F82" s="3116">
        <v>15</v>
      </c>
    </row>
    <row r="83" spans="1:6" ht="24">
      <c r="A83" s="3116">
        <v>11</v>
      </c>
      <c r="B83" s="3774"/>
      <c r="C83" s="3090" t="s">
        <v>2673</v>
      </c>
      <c r="D83" s="3090" t="s">
        <v>2674</v>
      </c>
      <c r="E83" s="3116">
        <v>0.1</v>
      </c>
      <c r="F83" s="3116">
        <v>15</v>
      </c>
    </row>
    <row r="84" spans="1:6" ht="24">
      <c r="A84" s="3116">
        <v>12</v>
      </c>
      <c r="B84" s="3774"/>
      <c r="C84" s="3090" t="s">
        <v>2675</v>
      </c>
      <c r="D84" s="3090" t="s">
        <v>2676</v>
      </c>
      <c r="E84" s="3116">
        <v>0.1</v>
      </c>
      <c r="F84" s="3116">
        <v>15</v>
      </c>
    </row>
    <row r="85" spans="1:6" ht="13.5">
      <c r="A85" s="3116">
        <v>13</v>
      </c>
      <c r="B85" s="3774"/>
      <c r="C85" s="3090" t="s">
        <v>2677</v>
      </c>
      <c r="D85" s="3090" t="s">
        <v>2678</v>
      </c>
      <c r="E85" s="3116">
        <v>0.1</v>
      </c>
      <c r="F85" s="3116">
        <v>15</v>
      </c>
    </row>
    <row r="86" spans="1:6" ht="13.5">
      <c r="A86" s="3116">
        <v>14</v>
      </c>
      <c r="B86" s="3774"/>
      <c r="C86" s="3090" t="s">
        <v>2679</v>
      </c>
      <c r="D86" s="3090" t="s">
        <v>2680</v>
      </c>
      <c r="E86" s="3116">
        <v>0.1</v>
      </c>
      <c r="F86" s="3116">
        <v>15</v>
      </c>
    </row>
    <row r="87" spans="1:6" ht="13.5">
      <c r="A87" s="3116">
        <v>15</v>
      </c>
      <c r="B87" s="3774"/>
      <c r="C87" s="3090" t="s">
        <v>2681</v>
      </c>
      <c r="D87" s="3090" t="s">
        <v>2682</v>
      </c>
      <c r="E87" s="3116">
        <v>0.1</v>
      </c>
      <c r="F87" s="3116">
        <v>15</v>
      </c>
    </row>
    <row r="88" spans="1:6" ht="24">
      <c r="A88" s="3116">
        <v>16</v>
      </c>
      <c r="B88" s="3774"/>
      <c r="C88" s="3090" t="s">
        <v>2683</v>
      </c>
      <c r="D88" s="3090" t="s">
        <v>2684</v>
      </c>
      <c r="E88" s="3116">
        <v>0.1</v>
      </c>
      <c r="F88" s="3116">
        <v>15</v>
      </c>
    </row>
    <row r="89" spans="1:6" ht="24">
      <c r="A89" s="3116">
        <v>17</v>
      </c>
      <c r="B89" s="3773"/>
      <c r="C89" s="3090" t="s">
        <v>2685</v>
      </c>
      <c r="D89" s="3090" t="s">
        <v>2686</v>
      </c>
      <c r="E89" s="3116">
        <v>0.1</v>
      </c>
      <c r="F89" s="3116">
        <v>15</v>
      </c>
    </row>
    <row r="90" spans="1:6" ht="13.5">
      <c r="A90" s="3116">
        <v>18</v>
      </c>
      <c r="B90" s="3772" t="s">
        <v>2687</v>
      </c>
      <c r="C90" s="3090" t="s">
        <v>2688</v>
      </c>
      <c r="D90" s="3090" t="s">
        <v>2689</v>
      </c>
      <c r="E90" s="3116">
        <v>0.2</v>
      </c>
      <c r="F90" s="3116">
        <v>25</v>
      </c>
    </row>
    <row r="91" spans="1:6" ht="24">
      <c r="A91" s="3116">
        <v>19</v>
      </c>
      <c r="B91" s="3774"/>
      <c r="C91" s="3090" t="s">
        <v>2690</v>
      </c>
      <c r="D91" s="3090" t="s">
        <v>2691</v>
      </c>
      <c r="E91" s="3116">
        <v>0.2</v>
      </c>
      <c r="F91" s="3116">
        <v>25</v>
      </c>
    </row>
    <row r="92" spans="1:6" ht="13.5">
      <c r="A92" s="3116">
        <v>20</v>
      </c>
      <c r="B92" s="3774"/>
      <c r="C92" s="3090" t="s">
        <v>2692</v>
      </c>
      <c r="D92" s="3090" t="s">
        <v>2693</v>
      </c>
      <c r="E92" s="3116">
        <v>0.15</v>
      </c>
      <c r="F92" s="3116">
        <v>20</v>
      </c>
    </row>
    <row r="93" spans="1:6" ht="13.5">
      <c r="A93" s="3116">
        <v>21</v>
      </c>
      <c r="B93" s="3774"/>
      <c r="C93" s="3090" t="s">
        <v>2694</v>
      </c>
      <c r="D93" s="3090" t="s">
        <v>2695</v>
      </c>
      <c r="E93" s="3116">
        <v>0.15</v>
      </c>
      <c r="F93" s="3116">
        <v>20</v>
      </c>
    </row>
    <row r="94" spans="1:6" ht="13.5">
      <c r="A94" s="3116">
        <v>22</v>
      </c>
      <c r="B94" s="3774"/>
      <c r="C94" s="3090" t="s">
        <v>2696</v>
      </c>
      <c r="D94" s="3090" t="s">
        <v>2697</v>
      </c>
      <c r="E94" s="3116">
        <v>0.15</v>
      </c>
      <c r="F94" s="3116">
        <v>20</v>
      </c>
    </row>
    <row r="95" spans="1:6" ht="36">
      <c r="A95" s="3116">
        <v>23</v>
      </c>
      <c r="B95" s="3774"/>
      <c r="C95" s="3090" t="s">
        <v>2698</v>
      </c>
      <c r="D95" s="3090" t="s">
        <v>2699</v>
      </c>
      <c r="E95" s="3116">
        <v>0.15</v>
      </c>
      <c r="F95" s="3116">
        <v>20</v>
      </c>
    </row>
    <row r="96" spans="1:6" ht="13.5">
      <c r="A96" s="3116">
        <v>24</v>
      </c>
      <c r="B96" s="3774"/>
      <c r="C96" s="3090" t="s">
        <v>2700</v>
      </c>
      <c r="D96" s="3090" t="s">
        <v>2701</v>
      </c>
      <c r="E96" s="3116">
        <v>0.1</v>
      </c>
      <c r="F96" s="3116">
        <v>15</v>
      </c>
    </row>
    <row r="97" spans="1:6" ht="13.5">
      <c r="A97" s="3116">
        <v>25</v>
      </c>
      <c r="B97" s="3774"/>
      <c r="C97" s="3090" t="s">
        <v>2702</v>
      </c>
      <c r="D97" s="3090" t="s">
        <v>2703</v>
      </c>
      <c r="E97" s="3116">
        <v>0.1</v>
      </c>
      <c r="F97" s="3116">
        <v>15</v>
      </c>
    </row>
    <row r="98" spans="1:6" ht="24">
      <c r="A98" s="3116">
        <v>26</v>
      </c>
      <c r="B98" s="3774"/>
      <c r="C98" s="3090" t="s">
        <v>2704</v>
      </c>
      <c r="D98" s="3090" t="s">
        <v>2705</v>
      </c>
      <c r="E98" s="3116">
        <v>0.1</v>
      </c>
      <c r="F98" s="3116">
        <v>15</v>
      </c>
    </row>
    <row r="99" spans="1:6" ht="24">
      <c r="A99" s="3116">
        <v>27</v>
      </c>
      <c r="B99" s="3774"/>
      <c r="C99" s="3090" t="s">
        <v>2706</v>
      </c>
      <c r="D99" s="3090" t="s">
        <v>2707</v>
      </c>
      <c r="E99" s="3116">
        <v>0.1</v>
      </c>
      <c r="F99" s="3116">
        <v>15</v>
      </c>
    </row>
    <row r="100" spans="1:6" ht="13.5">
      <c r="A100" s="3116">
        <v>28</v>
      </c>
      <c r="B100" s="3774"/>
      <c r="C100" s="3090" t="s">
        <v>2708</v>
      </c>
      <c r="D100" s="3090" t="s">
        <v>2709</v>
      </c>
      <c r="E100" s="3116">
        <v>0.1</v>
      </c>
      <c r="F100" s="3116">
        <v>15</v>
      </c>
    </row>
    <row r="101" spans="1:6" ht="13.5">
      <c r="A101" s="3116">
        <v>29</v>
      </c>
      <c r="B101" s="3774"/>
      <c r="C101" s="3090" t="s">
        <v>2710</v>
      </c>
      <c r="D101" s="3090" t="s">
        <v>2711</v>
      </c>
      <c r="E101" s="3116">
        <v>0.1</v>
      </c>
      <c r="F101" s="3116">
        <v>15</v>
      </c>
    </row>
    <row r="102" spans="1:6" ht="13.5">
      <c r="A102" s="3116">
        <v>30</v>
      </c>
      <c r="B102" s="3774"/>
      <c r="C102" s="3090" t="s">
        <v>2712</v>
      </c>
      <c r="D102" s="3090" t="s">
        <v>2713</v>
      </c>
      <c r="E102" s="3116">
        <v>0.1</v>
      </c>
      <c r="F102" s="3116">
        <v>15</v>
      </c>
    </row>
    <row r="103" spans="1:6" ht="24">
      <c r="A103" s="3116">
        <v>31</v>
      </c>
      <c r="B103" s="3774"/>
      <c r="C103" s="3090" t="s">
        <v>2714</v>
      </c>
      <c r="D103" s="3090" t="s">
        <v>2715</v>
      </c>
      <c r="E103" s="3116">
        <v>0.1</v>
      </c>
      <c r="F103" s="3116">
        <v>15</v>
      </c>
    </row>
    <row r="104" spans="1:6" ht="24">
      <c r="A104" s="3116">
        <v>32</v>
      </c>
      <c r="B104" s="3774"/>
      <c r="C104" s="3090" t="s">
        <v>2716</v>
      </c>
      <c r="D104" s="3090" t="s">
        <v>2717</v>
      </c>
      <c r="E104" s="3116">
        <v>0.1</v>
      </c>
      <c r="F104" s="3116">
        <v>15</v>
      </c>
    </row>
    <row r="105" spans="1:6" ht="24">
      <c r="A105" s="3116">
        <v>33</v>
      </c>
      <c r="B105" s="3774"/>
      <c r="C105" s="3090" t="s">
        <v>2718</v>
      </c>
      <c r="D105" s="3090" t="s">
        <v>2719</v>
      </c>
      <c r="E105" s="3116">
        <v>0.1</v>
      </c>
      <c r="F105" s="3116">
        <v>15</v>
      </c>
    </row>
    <row r="106" spans="1:6" ht="24">
      <c r="A106" s="3116">
        <v>34</v>
      </c>
      <c r="B106" s="3773"/>
      <c r="C106" s="3090" t="s">
        <v>2720</v>
      </c>
      <c r="D106" s="3090" t="s">
        <v>2721</v>
      </c>
      <c r="E106" s="3116">
        <v>0.1</v>
      </c>
      <c r="F106" s="3116">
        <v>15</v>
      </c>
    </row>
    <row r="107" spans="1:6" ht="24">
      <c r="A107" s="3116">
        <v>35</v>
      </c>
      <c r="B107" s="3772" t="s">
        <v>2722</v>
      </c>
      <c r="C107" s="3116" t="s">
        <v>2723</v>
      </c>
      <c r="D107" s="3090" t="s">
        <v>2724</v>
      </c>
      <c r="E107" s="3116">
        <v>0.15</v>
      </c>
      <c r="F107" s="3116">
        <v>20</v>
      </c>
    </row>
    <row r="108" spans="1:6" ht="13.5">
      <c r="A108" s="3116">
        <v>36</v>
      </c>
      <c r="B108" s="3774"/>
      <c r="C108" s="3116" t="s">
        <v>2725</v>
      </c>
      <c r="D108" s="3090" t="s">
        <v>2726</v>
      </c>
      <c r="E108" s="3116">
        <v>0.15</v>
      </c>
      <c r="F108" s="3116">
        <v>20</v>
      </c>
    </row>
    <row r="109" spans="1:6" ht="13.5">
      <c r="A109" s="3116">
        <v>37</v>
      </c>
      <c r="B109" s="3774"/>
      <c r="C109" s="3116" t="s">
        <v>2727</v>
      </c>
      <c r="D109" s="3090" t="s">
        <v>2728</v>
      </c>
      <c r="E109" s="3116">
        <v>0.15</v>
      </c>
      <c r="F109" s="3116">
        <v>20</v>
      </c>
    </row>
    <row r="110" spans="1:6" ht="13.5">
      <c r="A110" s="3116">
        <v>38</v>
      </c>
      <c r="B110" s="3774"/>
      <c r="C110" s="3116" t="s">
        <v>2729</v>
      </c>
      <c r="D110" s="3090" t="s">
        <v>2730</v>
      </c>
      <c r="E110" s="3116">
        <v>0.1</v>
      </c>
      <c r="F110" s="3116">
        <v>15</v>
      </c>
    </row>
    <row r="111" spans="1:6" ht="24">
      <c r="A111" s="3116">
        <v>39</v>
      </c>
      <c r="B111" s="3774"/>
      <c r="C111" s="3116" t="s">
        <v>2731</v>
      </c>
      <c r="D111" s="3090" t="s">
        <v>2732</v>
      </c>
      <c r="E111" s="3116">
        <v>0.1</v>
      </c>
      <c r="F111" s="3116">
        <v>15</v>
      </c>
    </row>
    <row r="112" spans="1:6" ht="24">
      <c r="A112" s="3116">
        <v>40</v>
      </c>
      <c r="B112" s="3773"/>
      <c r="C112" s="3116" t="s">
        <v>2733</v>
      </c>
      <c r="D112" s="3090" t="s">
        <v>2734</v>
      </c>
      <c r="E112" s="3116">
        <v>0.1</v>
      </c>
      <c r="F112" s="3116">
        <v>15</v>
      </c>
    </row>
    <row r="113" spans="1:6" ht="13.5">
      <c r="A113" s="3116">
        <v>41</v>
      </c>
      <c r="B113" s="3771" t="s">
        <v>2735</v>
      </c>
      <c r="C113" s="3116" t="s">
        <v>2736</v>
      </c>
      <c r="D113" s="3090" t="s">
        <v>2737</v>
      </c>
      <c r="E113" s="3116">
        <v>0.1</v>
      </c>
      <c r="F113" s="3116">
        <v>15</v>
      </c>
    </row>
    <row r="114" spans="1:6" ht="13.5">
      <c r="A114" s="3116">
        <v>42</v>
      </c>
      <c r="B114" s="3771"/>
      <c r="C114" s="3116" t="s">
        <v>2738</v>
      </c>
      <c r="D114" s="3090" t="s">
        <v>2739</v>
      </c>
      <c r="E114" s="3116">
        <v>0.1</v>
      </c>
      <c r="F114" s="3116">
        <v>15</v>
      </c>
    </row>
    <row r="115" spans="1:6" ht="24">
      <c r="A115" s="3116">
        <v>43</v>
      </c>
      <c r="B115" s="3771"/>
      <c r="C115" s="3116" t="s">
        <v>2740</v>
      </c>
      <c r="D115" s="3090" t="s">
        <v>2741</v>
      </c>
      <c r="E115" s="3116">
        <v>0.1</v>
      </c>
      <c r="F115" s="3116">
        <v>15</v>
      </c>
    </row>
    <row r="116" spans="1:6" ht="13.5">
      <c r="A116" s="3116">
        <v>44</v>
      </c>
      <c r="B116" s="3772" t="s">
        <v>2742</v>
      </c>
      <c r="C116" s="3116" t="s">
        <v>2743</v>
      </c>
      <c r="D116" s="3090" t="s">
        <v>2744</v>
      </c>
      <c r="E116" s="3116">
        <v>0.1</v>
      </c>
      <c r="F116" s="3116">
        <v>15</v>
      </c>
    </row>
    <row r="117" spans="1:6" ht="24">
      <c r="A117" s="3116">
        <v>45</v>
      </c>
      <c r="B117" s="3773"/>
      <c r="C117" s="3090" t="s">
        <v>2745</v>
      </c>
      <c r="D117" s="3090" t="s">
        <v>2746</v>
      </c>
      <c r="E117" s="3116">
        <v>0.1</v>
      </c>
      <c r="F117" s="3116">
        <v>15</v>
      </c>
    </row>
    <row r="118" spans="1:6" ht="24">
      <c r="A118" s="3116">
        <v>46</v>
      </c>
      <c r="B118" s="3772" t="s">
        <v>2747</v>
      </c>
      <c r="C118" s="3116" t="s">
        <v>2748</v>
      </c>
      <c r="D118" s="3090" t="s">
        <v>2749</v>
      </c>
      <c r="E118" s="3116">
        <v>0.1</v>
      </c>
      <c r="F118" s="3116">
        <v>15</v>
      </c>
    </row>
    <row r="119" spans="1:6" ht="24">
      <c r="A119" s="3116">
        <v>47</v>
      </c>
      <c r="B119" s="3773"/>
      <c r="C119" s="3116" t="s">
        <v>2750</v>
      </c>
      <c r="D119" s="3090" t="s">
        <v>2751</v>
      </c>
      <c r="E119" s="3116">
        <v>0.1</v>
      </c>
      <c r="F119" s="3116">
        <v>15</v>
      </c>
    </row>
    <row r="120" spans="1:6" ht="13.5">
      <c r="A120" s="3116">
        <v>48</v>
      </c>
      <c r="B120" s="3772" t="s">
        <v>2752</v>
      </c>
      <c r="C120" s="3116" t="s">
        <v>2753</v>
      </c>
      <c r="D120" s="3090" t="s">
        <v>2754</v>
      </c>
      <c r="E120" s="3116">
        <v>0.1</v>
      </c>
      <c r="F120" s="3116">
        <v>15</v>
      </c>
    </row>
    <row r="121" spans="1:6" ht="13.5">
      <c r="A121" s="3116">
        <v>49</v>
      </c>
      <c r="B121" s="3773"/>
      <c r="C121" s="3116" t="s">
        <v>2755</v>
      </c>
      <c r="D121" s="3090" t="s">
        <v>2756</v>
      </c>
      <c r="E121" s="3116">
        <v>0.1</v>
      </c>
      <c r="F121" s="3116">
        <v>15</v>
      </c>
    </row>
    <row r="122" spans="1:6" ht="24">
      <c r="A122" s="3116">
        <v>50</v>
      </c>
      <c r="B122" s="3771" t="s">
        <v>2757</v>
      </c>
      <c r="C122" s="3116" t="s">
        <v>2758</v>
      </c>
      <c r="D122" s="3090" t="s">
        <v>2759</v>
      </c>
      <c r="E122" s="3116">
        <v>0.1</v>
      </c>
      <c r="F122" s="3116">
        <v>15</v>
      </c>
    </row>
    <row r="123" spans="1:6" ht="24">
      <c r="A123" s="3116">
        <v>51</v>
      </c>
      <c r="B123" s="3771"/>
      <c r="C123" s="3116" t="s">
        <v>2760</v>
      </c>
      <c r="D123" s="3090" t="s">
        <v>2761</v>
      </c>
      <c r="E123" s="3116">
        <v>0.1</v>
      </c>
      <c r="F123" s="3116">
        <v>15</v>
      </c>
    </row>
    <row r="124" spans="1:6" ht="24">
      <c r="A124" s="3116">
        <v>52</v>
      </c>
      <c r="B124" s="3771" t="s">
        <v>2762</v>
      </c>
      <c r="C124" s="3116" t="s">
        <v>2763</v>
      </c>
      <c r="D124" s="3090" t="s">
        <v>2764</v>
      </c>
      <c r="E124" s="3116">
        <v>0.1</v>
      </c>
      <c r="F124" s="3116">
        <v>15</v>
      </c>
    </row>
    <row r="125" spans="1:6" ht="24">
      <c r="A125" s="3116">
        <v>53</v>
      </c>
      <c r="B125" s="3771"/>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71" t="s">
        <v>2770</v>
      </c>
      <c r="C127" s="3116" t="s">
        <v>2771</v>
      </c>
      <c r="D127" s="3090" t="s">
        <v>2772</v>
      </c>
      <c r="E127" s="3116">
        <v>0.1</v>
      </c>
      <c r="F127" s="3116">
        <v>15</v>
      </c>
    </row>
    <row r="128" spans="1:6" ht="13.5">
      <c r="A128" s="3116">
        <v>56</v>
      </c>
      <c r="B128" s="3771"/>
      <c r="C128" s="3116" t="s">
        <v>2773</v>
      </c>
      <c r="D128" s="3090" t="s">
        <v>2774</v>
      </c>
      <c r="E128" s="3116">
        <v>0.1</v>
      </c>
      <c r="F128" s="3116">
        <v>15</v>
      </c>
    </row>
    <row r="129" spans="1:6" ht="24">
      <c r="A129" s="3116">
        <v>57</v>
      </c>
      <c r="B129" s="3771"/>
      <c r="C129" s="3116" t="s">
        <v>2775</v>
      </c>
      <c r="D129" s="3090" t="s">
        <v>2776</v>
      </c>
      <c r="E129" s="3116">
        <v>0.1</v>
      </c>
      <c r="F129" s="3116">
        <v>15</v>
      </c>
    </row>
    <row r="130" spans="1:6" ht="24">
      <c r="A130" s="3116">
        <v>58</v>
      </c>
      <c r="B130" s="3771" t="s">
        <v>2777</v>
      </c>
      <c r="C130" s="3116" t="s">
        <v>2778</v>
      </c>
      <c r="D130" s="3090" t="s">
        <v>2779</v>
      </c>
      <c r="E130" s="3116">
        <v>0.1</v>
      </c>
      <c r="F130" s="3116">
        <v>15</v>
      </c>
    </row>
    <row r="131" spans="1:6" ht="13.5">
      <c r="A131" s="3116">
        <v>59</v>
      </c>
      <c r="B131" s="3771"/>
      <c r="C131" s="3116" t="s">
        <v>2780</v>
      </c>
      <c r="D131" s="3090" t="s">
        <v>2781</v>
      </c>
      <c r="E131" s="3116">
        <v>0.1</v>
      </c>
      <c r="F131" s="3116">
        <v>15</v>
      </c>
    </row>
    <row r="132" spans="1:6" ht="13.5">
      <c r="A132" s="3116">
        <v>60</v>
      </c>
      <c r="B132" s="3772" t="s">
        <v>2782</v>
      </c>
      <c r="C132" s="3116" t="s">
        <v>2783</v>
      </c>
      <c r="D132" s="3090" t="s">
        <v>2784</v>
      </c>
      <c r="E132" s="3116">
        <v>0.1</v>
      </c>
      <c r="F132" s="3116">
        <v>15</v>
      </c>
    </row>
    <row r="133" spans="1:6" ht="13.5">
      <c r="A133" s="3116">
        <v>61</v>
      </c>
      <c r="B133" s="3773"/>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71" t="s">
        <v>2790</v>
      </c>
      <c r="C135" s="3116" t="s">
        <v>2791</v>
      </c>
      <c r="D135" s="3090" t="s">
        <v>2792</v>
      </c>
      <c r="E135" s="3116">
        <v>0.1</v>
      </c>
      <c r="F135" s="3116">
        <v>15</v>
      </c>
    </row>
    <row r="136" spans="1:6" ht="13.5">
      <c r="A136" s="3116">
        <v>64</v>
      </c>
      <c r="B136" s="3771"/>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2799</v>
      </c>
      <c r="B1" s="3125"/>
      <c r="C1" s="3125"/>
      <c r="D1" s="3125"/>
      <c r="E1" s="3125"/>
      <c r="F1" s="3125"/>
      <c r="G1" s="3125"/>
      <c r="H1" s="3125"/>
      <c r="I1" s="3125"/>
      <c r="J1" s="3125"/>
      <c r="K1" s="3125"/>
      <c r="L1" s="3125"/>
      <c r="M1" s="3125"/>
      <c r="N1" s="749"/>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50">
        <f>SUMPRODUCT((A95:A184=ROUNDDOWN(基准地价修正!G3,1))*(B94:M94=基准地价修正!G2)*(B95:M184))</f>
        <v>0</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50">
        <f>SUMPRODUCT((A371:A460=ROUNDDOWN(基准地价修正!G3,1))*(B370:M370=基准地价修正!G2)*(B371:M460))</f>
        <v>0</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6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66"/>
      <c r="C2" s="3466"/>
      <c r="D2" s="3466"/>
      <c r="E2" s="3466"/>
    </row>
    <row r="3" spans="1:5" ht="18">
      <c r="A3" s="3467" t="str">
        <f>IF(项目基本情况!B9="房地产市场价值","估价结果一览表（市场价值不需“结果表-1”）","估价结果一览表")</f>
        <v>估价结果一览表（市场价值不需“结果表-1”）</v>
      </c>
      <c r="B3" s="3467"/>
      <c r="C3" s="3467"/>
      <c r="D3" s="3467"/>
      <c r="E3" s="3467"/>
    </row>
    <row r="4" spans="1:5" ht="19.5" thickBot="1">
      <c r="A4" s="1493"/>
      <c r="B4" s="3465" t="s">
        <v>917</v>
      </c>
      <c r="C4" s="3465"/>
      <c r="D4" s="3465"/>
      <c r="E4" s="1493"/>
    </row>
    <row r="5" spans="1:5" ht="16.5" thickTop="1">
      <c r="A5" s="1491"/>
      <c r="B5" s="3463" t="s">
        <v>909</v>
      </c>
      <c r="C5" s="1494" t="s">
        <v>910</v>
      </c>
      <c r="D5" s="850" t="e">
        <f ca="1">结果表!H101</f>
        <v>#REF!</v>
      </c>
      <c r="E5" s="1491"/>
    </row>
    <row r="6" spans="1:5" ht="15.75">
      <c r="A6" s="1491"/>
      <c r="B6" s="3463"/>
      <c r="C6" s="1494" t="s">
        <v>911</v>
      </c>
      <c r="D6" s="850" t="e">
        <f ca="1">NUMBERSTRING(INT(D5*10000),2)&amp;"元整"</f>
        <v>#REF!</v>
      </c>
      <c r="E6" s="1491"/>
    </row>
    <row r="7" spans="1:5" ht="15.75">
      <c r="A7" s="1491"/>
      <c r="B7" s="3468"/>
      <c r="C7" s="1495" t="s">
        <v>912</v>
      </c>
      <c r="D7" s="851" t="e">
        <f ca="1">结果表!H102</f>
        <v>#REF!</v>
      </c>
      <c r="E7" s="1491"/>
    </row>
    <row r="8" spans="1:5" ht="15.75">
      <c r="A8" s="1491"/>
      <c r="B8" s="3469" t="str">
        <f>结果表!E103</f>
        <v>2.估价师知悉的法定优先受偿款</v>
      </c>
      <c r="C8" s="1496" t="s">
        <v>913</v>
      </c>
      <c r="D8" s="851">
        <f>结果表!H103</f>
        <v>0</v>
      </c>
      <c r="E8" s="1491"/>
    </row>
    <row r="9" spans="1:5" ht="15.75">
      <c r="A9" s="1491"/>
      <c r="B9" s="347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62" t="str">
        <f>结果表!E107</f>
        <v>3.房地产抵押价值</v>
      </c>
      <c r="C13" s="1499" t="s">
        <v>910</v>
      </c>
      <c r="D13" s="853" t="e">
        <f ca="1">结果表!H107</f>
        <v>#REF!</v>
      </c>
      <c r="E13" s="1491"/>
    </row>
    <row r="14" spans="1:5" ht="15.75">
      <c r="A14" s="1491"/>
      <c r="B14" s="3463"/>
      <c r="C14" s="1494" t="s">
        <v>911</v>
      </c>
      <c r="D14" s="850" t="e">
        <f ca="1">NUMBERSTRING(INT(D13*10000),2)&amp;"元整"</f>
        <v>#REF!</v>
      </c>
      <c r="E14" s="1491"/>
    </row>
    <row r="15" spans="1:5" ht="15">
      <c r="A15" s="1491"/>
      <c r="B15" s="3468"/>
      <c r="C15" s="1495" t="s">
        <v>921</v>
      </c>
      <c r="D15" s="859" t="e">
        <f ca="1">结果表!H108</f>
        <v>#REF!</v>
      </c>
      <c r="E15" s="1491"/>
    </row>
    <row r="16" spans="1:5" ht="15">
      <c r="A16" s="1491"/>
      <c r="B16" s="3469" t="str">
        <f>结果表!E109</f>
        <v>——</v>
      </c>
      <c r="C16" s="1499" t="s">
        <v>922</v>
      </c>
      <c r="D16" s="1500" t="str">
        <f>结果表!H109</f>
        <v>——</v>
      </c>
      <c r="E16" s="1491"/>
    </row>
    <row r="17" spans="1:5" ht="15.75">
      <c r="A17" s="1491"/>
      <c r="B17" s="3470"/>
      <c r="C17" s="1494" t="s">
        <v>923</v>
      </c>
      <c r="D17" s="850" t="e">
        <f>NUMBERSTRING(INT(D16*10000),2)&amp;"元整"</f>
        <v>#VALUE!</v>
      </c>
      <c r="E17" s="1491"/>
    </row>
    <row r="18" spans="1:5" ht="15">
      <c r="A18" s="1491"/>
      <c r="B18" s="3471"/>
      <c r="C18" s="1495" t="s">
        <v>912</v>
      </c>
      <c r="D18" s="859" t="str">
        <f>结果表!H110</f>
        <v>——</v>
      </c>
      <c r="E18" s="1491"/>
    </row>
    <row r="19" spans="1:5" ht="15.75">
      <c r="A19" s="1491"/>
      <c r="B19" s="3462" t="str">
        <f>结果表!E111</f>
        <v>——</v>
      </c>
      <c r="C19" s="1499" t="s">
        <v>910</v>
      </c>
      <c r="D19" s="851" t="str">
        <f>结果表!H111</f>
        <v>——</v>
      </c>
      <c r="E19" s="1491"/>
    </row>
    <row r="20" spans="1:5" ht="15.75">
      <c r="A20" s="1491"/>
      <c r="B20" s="3463"/>
      <c r="C20" s="1494" t="s">
        <v>923</v>
      </c>
      <c r="D20" s="850" t="e">
        <f>NUMBERSTRING(INT(D19*10000),2)&amp;"元整"</f>
        <v>#VALUE!</v>
      </c>
      <c r="E20" s="1491"/>
    </row>
    <row r="21" spans="1:5" ht="15.75" thickBot="1">
      <c r="A21" s="1491"/>
      <c r="B21" s="346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30097</v>
      </c>
      <c r="C2" s="2" t="s">
        <v>106</v>
      </c>
      <c r="D2" s="199"/>
      <c r="E2" s="199"/>
      <c r="F2" s="199"/>
      <c r="G2" s="199"/>
    </row>
    <row r="3" spans="1:7" s="200" customFormat="1" ht="18" customHeight="1" thickBot="1">
      <c r="A3" s="203" t="s">
        <v>58</v>
      </c>
      <c r="B3" s="204">
        <f ca="1">ROUND(B2*10000/'数据-汇总表'!E3,0)</f>
        <v>1847122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162.94</v>
      </c>
      <c r="E9" s="225">
        <f>'数据-取费表'!B27</f>
        <v>0</v>
      </c>
      <c r="F9" s="221"/>
      <c r="G9" s="226"/>
    </row>
    <row r="10" spans="1:7" s="214" customFormat="1" ht="13.5" customHeight="1">
      <c r="A10" s="779" t="s">
        <v>356</v>
      </c>
      <c r="B10" s="224" t="s">
        <v>67</v>
      </c>
      <c r="C10" s="225">
        <f>ROUND(D10*E10/10000,0)</f>
        <v>0</v>
      </c>
      <c r="D10" s="845">
        <f>'数据-汇总表'!E6</f>
        <v>0</v>
      </c>
      <c r="E10" s="225">
        <f>'数据-取费表'!B28</f>
        <v>200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162.94</v>
      </c>
      <c r="E19" s="211">
        <f>'数据-取费表'!B31</f>
        <v>200</v>
      </c>
      <c r="F19" s="231"/>
      <c r="G19" s="1" t="s">
        <v>436</v>
      </c>
    </row>
    <row r="20" spans="1:7" s="214" customFormat="1" ht="13.5" customHeight="1">
      <c r="A20" s="777" t="s">
        <v>419</v>
      </c>
      <c r="B20" s="210" t="s">
        <v>77</v>
      </c>
      <c r="C20" s="232">
        <f>ROUND((C5+C19)*F20,0)</f>
        <v>206</v>
      </c>
      <c r="D20" s="232"/>
      <c r="E20" s="232"/>
      <c r="F20" s="233">
        <f>'数据-取费表'!B37</f>
        <v>0.01</v>
      </c>
      <c r="G20" s="1067" t="s">
        <v>430</v>
      </c>
    </row>
    <row r="21" spans="1:7" s="214" customFormat="1" ht="13.5" customHeight="1">
      <c r="A21" s="777" t="s">
        <v>421</v>
      </c>
      <c r="B21" s="210" t="s">
        <v>78</v>
      </c>
      <c r="C21" s="235">
        <f>F21</f>
        <v>0.01</v>
      </c>
      <c r="D21" s="236" t="s">
        <v>99</v>
      </c>
      <c r="E21" s="232"/>
      <c r="F21" s="233">
        <f>'数据-取费表'!B38</f>
        <v>0.01</v>
      </c>
      <c r="G21" s="234" t="s">
        <v>79</v>
      </c>
    </row>
    <row r="22" spans="1:7" s="214" customFormat="1" ht="13.5" customHeight="1">
      <c r="A22" s="777" t="s">
        <v>341</v>
      </c>
      <c r="B22" s="210" t="s">
        <v>80</v>
      </c>
      <c r="C22" s="1104">
        <f ca="1">ROUND(SUM(C23:C25),0)</f>
        <v>2014</v>
      </c>
      <c r="D22" s="235">
        <f ca="1">C26</f>
        <v>5.0000000000000001E-4</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10</v>
      </c>
      <c r="D25" s="238"/>
      <c r="E25" s="241"/>
      <c r="F25" s="239"/>
      <c r="G25" s="242" t="s">
        <v>83</v>
      </c>
    </row>
    <row r="26" spans="1:7" s="214" customFormat="1">
      <c r="A26" s="780" t="s">
        <v>350</v>
      </c>
      <c r="B26" s="215" t="s">
        <v>422</v>
      </c>
      <c r="C26" s="238">
        <f ca="1">ROUND(IF('数据-取费表'!B22&lt;=1,F21*F22*'数据-取费表'!B23/2,F21*(POWER((1+F22),'数据-取费表'!B23/2)-1)),4)</f>
        <v>5.0000000000000001E-4</v>
      </c>
      <c r="D26" s="238"/>
      <c r="E26" s="241"/>
      <c r="F26" s="239"/>
      <c r="G26" s="243"/>
    </row>
    <row r="27" spans="1:7" s="214" customFormat="1" ht="24.75">
      <c r="A27" s="777" t="s">
        <v>342</v>
      </c>
      <c r="B27" s="244" t="s">
        <v>85</v>
      </c>
      <c r="C27" s="245">
        <f>C28</f>
        <v>5205</v>
      </c>
      <c r="D27" s="235">
        <f>C29</f>
        <v>2.5000000000000001E-3</v>
      </c>
      <c r="E27" s="236" t="s">
        <v>99</v>
      </c>
      <c r="F27" s="246">
        <f>'数据-取费表'!Q16</f>
        <v>0.25</v>
      </c>
      <c r="G27" s="247" t="s">
        <v>431</v>
      </c>
    </row>
    <row r="28" spans="1:7" s="214" customFormat="1" ht="13.5" customHeight="1">
      <c r="A28" s="780" t="s">
        <v>349</v>
      </c>
      <c r="B28" s="248" t="s">
        <v>424</v>
      </c>
      <c r="C28" s="249">
        <f>ROUND((C5+C19+C20)*F27*'数据-取费表'!B21/'数据-取费表'!B20,0)</f>
        <v>5205</v>
      </c>
      <c r="D28" s="235"/>
      <c r="E28" s="236"/>
      <c r="F28" s="246"/>
      <c r="G28" s="247"/>
    </row>
    <row r="29" spans="1:7" s="214" customFormat="1" ht="13.5" customHeight="1">
      <c r="A29" s="780" t="s">
        <v>347</v>
      </c>
      <c r="B29" s="248" t="s">
        <v>425</v>
      </c>
      <c r="C29" s="238">
        <f>ROUND(C21*F27*'数据-取费表'!B21/'数据-取费表'!B20,4)</f>
        <v>2.5000000000000001E-3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30030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68</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57</v>
      </c>
      <c r="D34" s="217"/>
      <c r="E34" s="220"/>
      <c r="F34" s="257">
        <f>IF('数据-取费表'!B24=0,1,'数据-取费表'!N16)</f>
        <v>1</v>
      </c>
      <c r="G34" s="219" t="s">
        <v>89</v>
      </c>
    </row>
    <row r="35" spans="1:7" ht="13.5" customHeight="1">
      <c r="A35" s="780" t="s">
        <v>351</v>
      </c>
      <c r="B35" s="215" t="s">
        <v>33</v>
      </c>
      <c r="C35" s="220">
        <f>ROUND(C34*F35,0)</f>
        <v>2</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5</v>
      </c>
      <c r="D36" s="220"/>
      <c r="E36" s="220"/>
      <c r="F36" s="259">
        <f>'数据-取费表'!B34</f>
        <v>0.08</v>
      </c>
      <c r="G36" s="260" t="s">
        <v>35</v>
      </c>
    </row>
    <row r="37" spans="1:7" s="258" customFormat="1" ht="13.5" customHeight="1">
      <c r="A37" s="780" t="s">
        <v>353</v>
      </c>
      <c r="B37" s="215" t="s">
        <v>91</v>
      </c>
      <c r="C37" s="249">
        <f>ROUND(E37*D37*F34/10000,0)</f>
        <v>3</v>
      </c>
      <c r="D37" s="217">
        <f>'数据-汇总表'!E3</f>
        <v>162.94</v>
      </c>
      <c r="E37" s="249">
        <f>'数据-取费表'!B35</f>
        <v>200</v>
      </c>
      <c r="F37" s="259"/>
      <c r="G37" s="261" t="s">
        <v>92</v>
      </c>
    </row>
    <row r="38" spans="1:7" ht="13.5" customHeight="1">
      <c r="A38" s="780" t="s">
        <v>354</v>
      </c>
      <c r="B38" s="215" t="s">
        <v>36</v>
      </c>
      <c r="C38" s="220">
        <f>ROUND(C34*F38,0)</f>
        <v>1</v>
      </c>
      <c r="D38" s="220"/>
      <c r="E38" s="220"/>
      <c r="F38" s="259">
        <f>'数据-取费表'!B36</f>
        <v>1.4999999999999999E-2</v>
      </c>
      <c r="G38" s="219" t="s">
        <v>90</v>
      </c>
    </row>
    <row r="39" spans="1:7" s="214" customFormat="1" ht="13.5" customHeight="1">
      <c r="A39" s="777" t="s">
        <v>338</v>
      </c>
      <c r="B39" s="210" t="s">
        <v>77</v>
      </c>
      <c r="C39" s="232">
        <f>ROUND(C33*F20,0)</f>
        <v>1</v>
      </c>
      <c r="D39" s="232"/>
      <c r="E39" s="232"/>
      <c r="F39" s="233"/>
      <c r="G39" s="1067" t="s">
        <v>433</v>
      </c>
    </row>
    <row r="40" spans="1:7" s="214" customFormat="1" ht="13.5" customHeight="1">
      <c r="A40" s="777" t="s">
        <v>339</v>
      </c>
      <c r="B40" s="210" t="s">
        <v>78</v>
      </c>
      <c r="C40" s="262">
        <f>F21</f>
        <v>0.01</v>
      </c>
      <c r="D40" s="236" t="s">
        <v>102</v>
      </c>
      <c r="E40" s="232"/>
      <c r="F40" s="233"/>
      <c r="G40" s="234" t="s">
        <v>93</v>
      </c>
    </row>
    <row r="41" spans="1:7" s="214" customFormat="1" ht="13.5" customHeight="1">
      <c r="A41" s="777" t="s">
        <v>340</v>
      </c>
      <c r="B41" s="210" t="s">
        <v>80</v>
      </c>
      <c r="C41" s="232">
        <f ca="1">ROUND(SUM(C42:C43),0)</f>
        <v>3</v>
      </c>
      <c r="D41" s="235">
        <f ca="1">C44</f>
        <v>5.0000000000000001E-4</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3</v>
      </c>
      <c r="D42" s="238"/>
      <c r="E42" s="238"/>
      <c r="F42" s="239"/>
      <c r="G42" s="3644" t="s">
        <v>94</v>
      </c>
    </row>
    <row r="43" spans="1:7" ht="13.5" customHeight="1">
      <c r="A43" s="780" t="s">
        <v>347</v>
      </c>
      <c r="B43" s="215" t="s">
        <v>426</v>
      </c>
      <c r="C43" s="238">
        <f ca="1">ROUND(IF('数据-取费表'!B22&lt;=1,C39*F22*'数据-取费表'!B21/2,C39*(POWER((1+F22),'数据-取费表'!B21/2)-1)),0)</f>
        <v>0</v>
      </c>
      <c r="D43" s="238"/>
      <c r="E43" s="238"/>
      <c r="F43" s="239"/>
      <c r="G43" s="3645"/>
    </row>
    <row r="44" spans="1:7" ht="13.5" customHeight="1">
      <c r="A44" s="780" t="s">
        <v>348</v>
      </c>
      <c r="B44" s="215" t="s">
        <v>428</v>
      </c>
      <c r="C44" s="238">
        <f ca="1">ROUND(IF('数据-取费表'!B22&lt;=1,C40*F22*'数据-取费表'!B21/2,C40*(POWER((1+F22),'数据-取费表'!B21/2)-1)),4)</f>
        <v>5.0000000000000001E-4</v>
      </c>
      <c r="D44" s="238"/>
      <c r="E44" s="238"/>
      <c r="F44" s="239"/>
      <c r="G44" s="3646"/>
    </row>
    <row r="45" spans="1:7" s="214" customFormat="1" ht="13.5" customHeight="1">
      <c r="A45" s="777" t="s">
        <v>341</v>
      </c>
      <c r="B45" s="244" t="s">
        <v>85</v>
      </c>
      <c r="C45" s="245">
        <f>C46</f>
        <v>17</v>
      </c>
      <c r="D45" s="235">
        <f>C47</f>
        <v>2.5000000000000001E-3</v>
      </c>
      <c r="E45" s="236" t="s">
        <v>102</v>
      </c>
      <c r="F45" s="246"/>
      <c r="G45" s="247" t="s">
        <v>434</v>
      </c>
    </row>
    <row r="46" spans="1:7" s="214" customFormat="1" ht="13.5" customHeight="1">
      <c r="A46" s="780" t="s">
        <v>349</v>
      </c>
      <c r="B46" s="248" t="s">
        <v>427</v>
      </c>
      <c r="C46" s="249">
        <f>ROUND((C33+C39)*F27,0)</f>
        <v>17</v>
      </c>
      <c r="D46" s="263"/>
      <c r="E46" s="236"/>
      <c r="F46" s="246"/>
      <c r="G46" s="247"/>
    </row>
    <row r="47" spans="1:7" s="214" customFormat="1" ht="13.5" customHeight="1">
      <c r="A47" s="780" t="s">
        <v>347</v>
      </c>
      <c r="B47" s="248" t="s">
        <v>429</v>
      </c>
      <c r="C47" s="238">
        <f>ROUND(C40*F27,4)</f>
        <v>2.5000000000000001E-3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95</v>
      </c>
      <c r="D49" s="232"/>
      <c r="E49" s="232"/>
      <c r="F49" s="264"/>
      <c r="G49" s="234" t="s">
        <v>435</v>
      </c>
    </row>
    <row r="50" spans="1:7" s="258" customFormat="1" ht="24">
      <c r="A50" s="777" t="s">
        <v>344</v>
      </c>
      <c r="B50" s="210" t="s">
        <v>97</v>
      </c>
      <c r="C50" s="232"/>
      <c r="D50" s="232"/>
      <c r="E50" s="232"/>
      <c r="F50" s="264">
        <f>IF('数据-取费表'!B24=0,'数据-取费表'!N16,1)</f>
        <v>0.7</v>
      </c>
      <c r="G50" s="247" t="s">
        <v>98</v>
      </c>
    </row>
    <row r="51" spans="1:7" ht="16.5" customHeight="1">
      <c r="A51" s="777" t="s">
        <v>345</v>
      </c>
      <c r="B51" s="210" t="s">
        <v>105</v>
      </c>
      <c r="C51" s="232">
        <f ca="1">ROUND(C49*F50,0)</f>
        <v>67</v>
      </c>
      <c r="D51" s="232"/>
      <c r="E51" s="232"/>
      <c r="F51" s="264"/>
      <c r="G51" s="234" t="s">
        <v>37</v>
      </c>
    </row>
    <row r="52" spans="1:7" s="208" customFormat="1" ht="16.5" thickBot="1">
      <c r="A52" s="265" t="s">
        <v>38</v>
      </c>
      <c r="B52" s="266"/>
      <c r="C52" s="267">
        <f ca="1">C31+C51</f>
        <v>30097</v>
      </c>
      <c r="D52" s="266"/>
      <c r="E52" s="266"/>
      <c r="F52" s="266"/>
      <c r="G52" s="268"/>
    </row>
    <row r="55" spans="1:7" ht="15">
      <c r="B55" s="270" t="s">
        <v>39</v>
      </c>
      <c r="C55" s="271"/>
    </row>
    <row r="56" spans="1:7">
      <c r="B56" s="273" t="s">
        <v>40</v>
      </c>
      <c r="C56" s="274">
        <f ca="1">ROUND(C51/C52,3)</f>
        <v>2E-3</v>
      </c>
    </row>
    <row r="57" spans="1:7">
      <c r="B57" s="273" t="s">
        <v>41</v>
      </c>
      <c r="C57" s="275">
        <f ca="1">1-C56</f>
        <v>0.998</v>
      </c>
    </row>
  </sheetData>
  <mergeCells count="1">
    <mergeCell ref="G42:G44"/>
  </mergeCells>
  <phoneticPr fontId="18" type="noConversion"/>
  <dataValidations count="2">
    <dataValidation type="list" allowBlank="1" showInputMessage="1" showErrorMessage="1" sqref="G19" xr:uid="{00000000-0002-0000-2700-000000000000}">
      <formula1>"已包含在土地取得成本中,未包含在土地取得成本中"</formula1>
    </dataValidation>
    <dataValidation type="list" allowBlank="1" showInputMessage="1" showErrorMessage="1" sqref="G8" xr:uid="{00000000-0002-0000-27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T384"/>
  <sheetViews>
    <sheetView zoomScale="80" zoomScaleNormal="80" workbookViewId="0">
      <selection activeCell="F39" sqref="F39:F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85" t="s">
        <v>2842</v>
      </c>
      <c r="B1" s="3785"/>
      <c r="C1" s="3785"/>
      <c r="D1" s="3785"/>
      <c r="E1" s="3785"/>
      <c r="F1" s="3785"/>
      <c r="G1" s="3786"/>
      <c r="I1" s="3221" t="s">
        <v>2843</v>
      </c>
      <c r="J1" s="3222" t="s">
        <v>2844</v>
      </c>
      <c r="K1" s="3222" t="s">
        <v>2845</v>
      </c>
      <c r="L1" s="3222" t="s">
        <v>2846</v>
      </c>
      <c r="M1" s="3222" t="s">
        <v>2847</v>
      </c>
      <c r="N1" s="3222" t="s">
        <v>2848</v>
      </c>
      <c r="O1" s="3222" t="s">
        <v>2849</v>
      </c>
      <c r="P1" s="3222" t="s">
        <v>2850</v>
      </c>
      <c r="Q1" s="3222" t="s">
        <v>2851</v>
      </c>
      <c r="R1" s="3222" t="s">
        <v>2852</v>
      </c>
      <c r="S1" s="3222" t="s">
        <v>2853</v>
      </c>
      <c r="T1" s="3223" t="s">
        <v>2854</v>
      </c>
    </row>
    <row r="2" spans="1:20" ht="12" thickBot="1">
      <c r="A2" s="3225" t="s">
        <v>2855</v>
      </c>
      <c r="B2" s="3225"/>
      <c r="C2" s="3225"/>
      <c r="D2" s="3225"/>
      <c r="E2" s="3225"/>
      <c r="F2" s="3225"/>
      <c r="G2" s="3226" t="s">
        <v>2856</v>
      </c>
      <c r="I2" s="3227" t="s">
        <v>2857</v>
      </c>
      <c r="J2" s="3227" t="s">
        <v>2858</v>
      </c>
      <c r="K2" s="3227" t="s">
        <v>2859</v>
      </c>
      <c r="L2" s="3227" t="s">
        <v>2860</v>
      </c>
      <c r="M2" s="3227" t="s">
        <v>2861</v>
      </c>
      <c r="N2" s="3227" t="s">
        <v>2862</v>
      </c>
      <c r="O2" s="3227" t="s">
        <v>2863</v>
      </c>
      <c r="P2" s="3227" t="s">
        <v>2864</v>
      </c>
      <c r="Q2" s="3227" t="s">
        <v>2865</v>
      </c>
      <c r="R2" s="3227" t="s">
        <v>2866</v>
      </c>
      <c r="S2" s="3227" t="s">
        <v>2867</v>
      </c>
      <c r="T2" s="3227" t="s">
        <v>2868</v>
      </c>
    </row>
    <row r="3" spans="1:20" s="3233" customFormat="1">
      <c r="A3" s="3783" t="s">
        <v>2869</v>
      </c>
      <c r="B3" s="3228"/>
      <c r="C3" s="3229" t="s">
        <v>2812</v>
      </c>
      <c r="D3" s="3229" t="s">
        <v>2870</v>
      </c>
      <c r="E3" s="3229" t="s">
        <v>2814</v>
      </c>
      <c r="F3" s="3229" t="s">
        <v>2871</v>
      </c>
      <c r="G3" s="3229" t="s">
        <v>2632</v>
      </c>
      <c r="H3" s="3230"/>
      <c r="I3" s="3231" t="s">
        <v>2872</v>
      </c>
      <c r="J3" s="3232" t="s">
        <v>128</v>
      </c>
      <c r="K3" s="3232" t="s">
        <v>129</v>
      </c>
      <c r="L3" s="3231" t="s">
        <v>130</v>
      </c>
      <c r="M3" s="3231" t="s">
        <v>131</v>
      </c>
      <c r="N3" s="3231" t="s">
        <v>132</v>
      </c>
      <c r="O3" s="3231" t="s">
        <v>133</v>
      </c>
      <c r="P3" s="3231" t="s">
        <v>134</v>
      </c>
      <c r="Q3" s="3231" t="s">
        <v>135</v>
      </c>
      <c r="R3" s="3231" t="s">
        <v>136</v>
      </c>
      <c r="S3" s="3231" t="s">
        <v>2873</v>
      </c>
      <c r="T3" s="3231" t="s">
        <v>2874</v>
      </c>
    </row>
    <row r="4" spans="1:20" s="3233" customFormat="1" ht="12" thickBot="1">
      <c r="A4" s="3784"/>
      <c r="B4" s="3234" t="s">
        <v>2875</v>
      </c>
      <c r="C4" s="3234" t="s">
        <v>2876</v>
      </c>
      <c r="D4" s="3234" t="s">
        <v>2876</v>
      </c>
      <c r="E4" s="3234" t="s">
        <v>2876</v>
      </c>
      <c r="F4" s="3235" t="s">
        <v>2876</v>
      </c>
      <c r="G4" s="3235" t="s">
        <v>2876</v>
      </c>
      <c r="H4" s="3230"/>
      <c r="I4" s="3232" t="s">
        <v>137</v>
      </c>
      <c r="J4" s="3232" t="s">
        <v>111</v>
      </c>
      <c r="K4" s="3232" t="s">
        <v>138</v>
      </c>
      <c r="L4" s="3231" t="s">
        <v>139</v>
      </c>
      <c r="M4" s="3231" t="s">
        <v>140</v>
      </c>
      <c r="N4" s="3231" t="s">
        <v>141</v>
      </c>
      <c r="O4" s="3231" t="s">
        <v>142</v>
      </c>
      <c r="P4" s="3231" t="s">
        <v>143</v>
      </c>
      <c r="Q4" s="3231" t="s">
        <v>2877</v>
      </c>
      <c r="R4" s="3231" t="s">
        <v>2878</v>
      </c>
      <c r="S4" s="3231" t="s">
        <v>2879</v>
      </c>
      <c r="T4" s="3231" t="s">
        <v>2880</v>
      </c>
    </row>
    <row r="5" spans="1:20">
      <c r="A5" s="3236" t="s">
        <v>2843</v>
      </c>
      <c r="B5" s="3227" t="s">
        <v>2857</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2881</v>
      </c>
      <c r="R5" s="3231" t="s">
        <v>2882</v>
      </c>
      <c r="S5" s="3231" t="s">
        <v>153</v>
      </c>
      <c r="T5" s="3231" t="s">
        <v>2883</v>
      </c>
    </row>
    <row r="6" spans="1:20" ht="12" thickBot="1">
      <c r="A6" s="3231" t="s">
        <v>144</v>
      </c>
      <c r="B6" s="3231" t="s">
        <v>2872</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2884</v>
      </c>
      <c r="Q6" s="3231" t="s">
        <v>2885</v>
      </c>
      <c r="R6" s="3231" t="s">
        <v>161</v>
      </c>
      <c r="S6" s="3231" t="s">
        <v>2886</v>
      </c>
      <c r="T6" s="3231" t="s">
        <v>2887</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2888</v>
      </c>
      <c r="Q7" s="3231" t="s">
        <v>2889</v>
      </c>
      <c r="R7" s="3231" t="s">
        <v>2890</v>
      </c>
      <c r="S7" s="3231" t="s">
        <v>2891</v>
      </c>
      <c r="T7" s="3231" t="s">
        <v>2892</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2893</v>
      </c>
      <c r="Q8" s="3231" t="s">
        <v>174</v>
      </c>
      <c r="R8" s="3231" t="s">
        <v>2894</v>
      </c>
      <c r="S8" s="3231" t="s">
        <v>2895</v>
      </c>
      <c r="T8" s="3238" t="s">
        <v>2896</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2897</v>
      </c>
      <c r="Q9" s="3231" t="s">
        <v>182</v>
      </c>
      <c r="R9" s="3231" t="s">
        <v>183</v>
      </c>
      <c r="S9" s="3231" t="s">
        <v>200</v>
      </c>
    </row>
    <row r="10" spans="1:20">
      <c r="A10" s="3236" t="s">
        <v>184</v>
      </c>
      <c r="B10" s="3227" t="s">
        <v>2858</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2898</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2899</v>
      </c>
      <c r="P11" s="3231" t="s">
        <v>191</v>
      </c>
      <c r="Q11" s="3231" t="s">
        <v>199</v>
      </c>
      <c r="R11" s="3231" t="s">
        <v>2900</v>
      </c>
      <c r="S11" s="3231" t="s">
        <v>2901</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2902</v>
      </c>
      <c r="P12" s="3231" t="s">
        <v>2903</v>
      </c>
      <c r="Q12" s="3231" t="s">
        <v>2904</v>
      </c>
      <c r="R12" s="3231" t="s">
        <v>2905</v>
      </c>
      <c r="S12" s="3231" t="s">
        <v>2906</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2907</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2908</v>
      </c>
      <c r="K14" s="3232" t="s">
        <v>215</v>
      </c>
      <c r="L14" s="3231" t="s">
        <v>216</v>
      </c>
      <c r="M14" s="3231" t="s">
        <v>217</v>
      </c>
      <c r="N14" s="3231" t="s">
        <v>218</v>
      </c>
      <c r="O14" s="3231" t="s">
        <v>240</v>
      </c>
      <c r="P14" s="3231" t="s">
        <v>213</v>
      </c>
      <c r="Q14" s="3231" t="s">
        <v>2909</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2910</v>
      </c>
      <c r="P15" s="3231" t="s">
        <v>2911</v>
      </c>
      <c r="Q15" s="3231" t="s">
        <v>242</v>
      </c>
      <c r="R15" s="3231" t="s">
        <v>2912</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2913</v>
      </c>
      <c r="P16" s="3231" t="s">
        <v>227</v>
      </c>
      <c r="Q16" s="3231" t="s">
        <v>250</v>
      </c>
      <c r="R16" s="3231" t="s">
        <v>207</v>
      </c>
      <c r="S16" s="3231" t="s">
        <v>2914</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2915</v>
      </c>
      <c r="P17" s="3231" t="s">
        <v>2916</v>
      </c>
      <c r="Q17" s="3231" t="s">
        <v>256</v>
      </c>
      <c r="R17" s="3231" t="s">
        <v>2917</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2918</v>
      </c>
      <c r="P18" s="3231" t="s">
        <v>241</v>
      </c>
      <c r="Q18" s="3231" t="s">
        <v>2919</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2920</v>
      </c>
      <c r="P19" s="3231" t="s">
        <v>249</v>
      </c>
      <c r="Q19" s="3231" t="s">
        <v>2921</v>
      </c>
      <c r="R19" s="3231" t="s">
        <v>265</v>
      </c>
      <c r="S19" s="3231" t="s">
        <v>2922</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2923</v>
      </c>
      <c r="P20" s="3231" t="s">
        <v>2924</v>
      </c>
      <c r="Q20" s="3231" t="s">
        <v>290</v>
      </c>
      <c r="R20" s="3231" t="s">
        <v>2925</v>
      </c>
      <c r="S20" s="3231" t="s">
        <v>277</v>
      </c>
    </row>
    <row r="21" spans="1:19" ht="14.25" customHeight="1" thickBot="1">
      <c r="A21" s="3231" t="s">
        <v>184</v>
      </c>
      <c r="B21" s="3232" t="s">
        <v>208</v>
      </c>
      <c r="C21" s="3231">
        <v>32370</v>
      </c>
      <c r="D21" s="3231">
        <v>26730</v>
      </c>
      <c r="E21" s="3231">
        <v>26640</v>
      </c>
      <c r="F21" s="3231"/>
      <c r="G21" s="3231">
        <v>19440</v>
      </c>
      <c r="J21" s="3238" t="s">
        <v>2926</v>
      </c>
      <c r="K21" s="3232" t="s">
        <v>267</v>
      </c>
      <c r="L21" s="3231" t="s">
        <v>268</v>
      </c>
      <c r="M21" s="3231" t="s">
        <v>269</v>
      </c>
      <c r="N21" s="3231" t="s">
        <v>270</v>
      </c>
      <c r="O21" s="3231" t="s">
        <v>264</v>
      </c>
      <c r="P21" s="3231" t="s">
        <v>283</v>
      </c>
      <c r="Q21" s="3231" t="s">
        <v>293</v>
      </c>
      <c r="R21" s="3231" t="s">
        <v>2927</v>
      </c>
      <c r="S21" s="3238" t="s">
        <v>2928</v>
      </c>
    </row>
    <row r="22" spans="1:19" ht="14.25" customHeight="1">
      <c r="A22" s="3231" t="s">
        <v>184</v>
      </c>
      <c r="B22" s="3232" t="s">
        <v>2908</v>
      </c>
      <c r="C22" s="3231">
        <v>29830</v>
      </c>
      <c r="D22" s="3231">
        <v>27600</v>
      </c>
      <c r="E22" s="3231">
        <v>28150</v>
      </c>
      <c r="F22" s="3231"/>
      <c r="G22" s="3231">
        <v>20080</v>
      </c>
      <c r="K22" s="3232" t="s">
        <v>2929</v>
      </c>
      <c r="L22" s="3231" t="s">
        <v>272</v>
      </c>
      <c r="M22" s="3231" t="s">
        <v>273</v>
      </c>
      <c r="N22" s="3231" t="s">
        <v>274</v>
      </c>
      <c r="O22" s="3231" t="s">
        <v>2930</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2931</v>
      </c>
      <c r="L23" s="3231" t="s">
        <v>278</v>
      </c>
      <c r="M23" s="3231" t="s">
        <v>279</v>
      </c>
      <c r="N23" s="3231" t="s">
        <v>2932</v>
      </c>
      <c r="O23" s="3231" t="s">
        <v>2933</v>
      </c>
      <c r="P23" s="3231" t="s">
        <v>289</v>
      </c>
      <c r="Q23" s="3231" t="s">
        <v>298</v>
      </c>
      <c r="R23" s="3231" t="s">
        <v>2934</v>
      </c>
    </row>
    <row r="24" spans="1:19" ht="14.25" customHeight="1">
      <c r="A24" s="3231" t="s">
        <v>184</v>
      </c>
      <c r="B24" s="3232" t="s">
        <v>230</v>
      </c>
      <c r="C24" s="3231">
        <v>27930</v>
      </c>
      <c r="D24" s="3231">
        <v>32260</v>
      </c>
      <c r="E24" s="3231">
        <v>32120</v>
      </c>
      <c r="F24" s="3231"/>
      <c r="G24" s="3231">
        <v>23470</v>
      </c>
      <c r="K24" s="3232" t="s">
        <v>2935</v>
      </c>
      <c r="L24" s="3231" t="s">
        <v>281</v>
      </c>
      <c r="M24" s="3231" t="s">
        <v>282</v>
      </c>
      <c r="N24" s="3231" t="s">
        <v>2936</v>
      </c>
      <c r="O24" s="3231" t="s">
        <v>285</v>
      </c>
      <c r="P24" s="3231" t="s">
        <v>2937</v>
      </c>
      <c r="Q24" s="3240" t="s">
        <v>2938</v>
      </c>
      <c r="R24" s="3231" t="s">
        <v>2939</v>
      </c>
    </row>
    <row r="25" spans="1:19" ht="14.25" customHeight="1">
      <c r="A25" s="3231" t="s">
        <v>184</v>
      </c>
      <c r="B25" s="3232" t="s">
        <v>235</v>
      </c>
      <c r="C25" s="3231">
        <v>32230</v>
      </c>
      <c r="D25" s="3231">
        <v>29640</v>
      </c>
      <c r="E25" s="3231">
        <v>29510</v>
      </c>
      <c r="F25" s="3231"/>
      <c r="G25" s="3231">
        <v>21560</v>
      </c>
      <c r="K25" s="3232" t="s">
        <v>2940</v>
      </c>
      <c r="L25" s="3231" t="s">
        <v>2941</v>
      </c>
      <c r="M25" s="3231" t="s">
        <v>284</v>
      </c>
      <c r="N25" s="3231" t="s">
        <v>292</v>
      </c>
      <c r="O25" s="3231" t="s">
        <v>288</v>
      </c>
      <c r="P25" s="3231" t="s">
        <v>275</v>
      </c>
      <c r="Q25" s="3240" t="s">
        <v>271</v>
      </c>
      <c r="R25" s="3231" t="s">
        <v>2942</v>
      </c>
    </row>
    <row r="26" spans="1:19" ht="14.25" customHeight="1" thickBot="1">
      <c r="A26" s="3231" t="s">
        <v>184</v>
      </c>
      <c r="B26" s="3232" t="s">
        <v>244</v>
      </c>
      <c r="C26" s="3231">
        <v>31690</v>
      </c>
      <c r="D26" s="3231">
        <v>27650</v>
      </c>
      <c r="E26" s="3231">
        <v>28200</v>
      </c>
      <c r="F26" s="3231"/>
      <c r="G26" s="3231">
        <v>20110</v>
      </c>
      <c r="K26" s="3237" t="s">
        <v>2943</v>
      </c>
      <c r="L26" s="3231" t="s">
        <v>2944</v>
      </c>
      <c r="M26" s="3231" t="s">
        <v>287</v>
      </c>
      <c r="N26" s="3231" t="s">
        <v>294</v>
      </c>
      <c r="O26" s="3231" t="s">
        <v>2945</v>
      </c>
      <c r="P26" s="3231" t="s">
        <v>2946</v>
      </c>
      <c r="Q26" s="3240" t="s">
        <v>276</v>
      </c>
      <c r="R26" s="3231" t="s">
        <v>2947</v>
      </c>
    </row>
    <row r="27" spans="1:19" ht="14.25" customHeight="1">
      <c r="A27" s="3231" t="s">
        <v>184</v>
      </c>
      <c r="B27" s="3232" t="s">
        <v>251</v>
      </c>
      <c r="C27" s="3231">
        <v>29610</v>
      </c>
      <c r="D27" s="3231">
        <v>27770</v>
      </c>
      <c r="E27" s="3231">
        <v>28300</v>
      </c>
      <c r="F27" s="3231"/>
      <c r="G27" s="3231">
        <v>20210</v>
      </c>
      <c r="L27" s="3231" t="s">
        <v>2948</v>
      </c>
      <c r="M27" s="3231" t="s">
        <v>291</v>
      </c>
      <c r="N27" s="3231" t="s">
        <v>297</v>
      </c>
      <c r="O27" s="3231" t="s">
        <v>2949</v>
      </c>
      <c r="P27" s="3231" t="s">
        <v>2950</v>
      </c>
      <c r="Q27" s="3231" t="s">
        <v>2951</v>
      </c>
      <c r="R27" s="3231" t="s">
        <v>2952</v>
      </c>
    </row>
    <row r="28" spans="1:19" ht="14.25" customHeight="1">
      <c r="A28" s="3231" t="s">
        <v>184</v>
      </c>
      <c r="B28" s="3232" t="s">
        <v>259</v>
      </c>
      <c r="C28" s="3231"/>
      <c r="D28" s="3231">
        <v>31520</v>
      </c>
      <c r="E28" s="3231">
        <v>31410</v>
      </c>
      <c r="F28" s="3231"/>
      <c r="G28" s="3231">
        <v>22940</v>
      </c>
      <c r="L28" s="3231" t="s">
        <v>2953</v>
      </c>
      <c r="M28" s="3231" t="s">
        <v>2954</v>
      </c>
      <c r="N28" s="3231" t="s">
        <v>2955</v>
      </c>
      <c r="O28" s="3231" t="s">
        <v>2956</v>
      </c>
      <c r="P28" s="3231" t="s">
        <v>2957</v>
      </c>
      <c r="Q28" s="3231" t="s">
        <v>2958</v>
      </c>
      <c r="R28" s="3231" t="s">
        <v>2959</v>
      </c>
    </row>
    <row r="29" spans="1:19" ht="14.25" customHeight="1" thickBot="1">
      <c r="A29" s="3239" t="s">
        <v>184</v>
      </c>
      <c r="B29" s="3241" t="s">
        <v>2926</v>
      </c>
      <c r="C29" s="3242"/>
      <c r="D29" s="3242">
        <v>29460</v>
      </c>
      <c r="E29" s="3242">
        <v>28640</v>
      </c>
      <c r="F29" s="3242"/>
      <c r="G29" s="3242">
        <v>21430</v>
      </c>
      <c r="L29" s="3231" t="s">
        <v>2960</v>
      </c>
      <c r="M29" s="3231" t="s">
        <v>2961</v>
      </c>
      <c r="N29" s="3231" t="s">
        <v>2962</v>
      </c>
      <c r="O29" s="3231" t="s">
        <v>2963</v>
      </c>
      <c r="P29" s="3231" t="s">
        <v>2964</v>
      </c>
      <c r="Q29" s="3231" t="s">
        <v>2965</v>
      </c>
      <c r="R29" s="3231" t="s">
        <v>280</v>
      </c>
    </row>
    <row r="30" spans="1:19" ht="14.25" customHeight="1">
      <c r="A30" s="3236" t="s">
        <v>296</v>
      </c>
      <c r="B30" s="3227" t="s">
        <v>2859</v>
      </c>
      <c r="C30" s="3227">
        <v>26890</v>
      </c>
      <c r="D30" s="3227">
        <v>26770</v>
      </c>
      <c r="E30" s="3227">
        <v>25700</v>
      </c>
      <c r="F30" s="3227">
        <v>8180</v>
      </c>
      <c r="G30" s="3243">
        <v>18740</v>
      </c>
      <c r="L30" s="3231" t="s">
        <v>2966</v>
      </c>
      <c r="M30" s="3231" t="s">
        <v>2967</v>
      </c>
      <c r="N30" s="3231" t="s">
        <v>2968</v>
      </c>
      <c r="O30" s="3231" t="s">
        <v>2969</v>
      </c>
      <c r="P30" s="3231" t="s">
        <v>2970</v>
      </c>
      <c r="Q30" s="3231" t="s">
        <v>2971</v>
      </c>
      <c r="R30" s="3231" t="s">
        <v>2972</v>
      </c>
    </row>
    <row r="31" spans="1:19" ht="14.25" customHeight="1">
      <c r="A31" s="3231" t="s">
        <v>296</v>
      </c>
      <c r="B31" s="3232" t="s">
        <v>129</v>
      </c>
      <c r="C31" s="3231">
        <v>24550</v>
      </c>
      <c r="D31" s="3231">
        <v>23990</v>
      </c>
      <c r="E31" s="3231">
        <v>22930</v>
      </c>
      <c r="F31" s="3231">
        <v>7470</v>
      </c>
      <c r="G31" s="3244">
        <v>16790</v>
      </c>
      <c r="L31" s="3231" t="s">
        <v>2973</v>
      </c>
      <c r="M31" s="3231" t="s">
        <v>2974</v>
      </c>
      <c r="N31" s="3231" t="s">
        <v>2975</v>
      </c>
      <c r="O31" s="3231" t="s">
        <v>2976</v>
      </c>
      <c r="P31" s="3231" t="s">
        <v>2977</v>
      </c>
      <c r="Q31" s="3231" t="s">
        <v>2978</v>
      </c>
      <c r="R31" s="3231" t="s">
        <v>2979</v>
      </c>
    </row>
    <row r="32" spans="1:19" ht="14.25" customHeight="1" thickBot="1">
      <c r="A32" s="3231" t="s">
        <v>296</v>
      </c>
      <c r="B32" s="3232" t="s">
        <v>138</v>
      </c>
      <c r="C32" s="3231">
        <v>27210</v>
      </c>
      <c r="D32" s="3231">
        <v>23240</v>
      </c>
      <c r="E32" s="3231">
        <v>23260</v>
      </c>
      <c r="F32" s="3231">
        <v>7130</v>
      </c>
      <c r="G32" s="3244">
        <v>16270</v>
      </c>
      <c r="L32" s="3231" t="s">
        <v>2980</v>
      </c>
      <c r="M32" s="3231" t="s">
        <v>2981</v>
      </c>
      <c r="N32" s="3231" t="s">
        <v>300</v>
      </c>
      <c r="O32" s="3231" t="s">
        <v>2982</v>
      </c>
      <c r="P32" s="3231" t="s">
        <v>299</v>
      </c>
      <c r="Q32" s="3231" t="s">
        <v>2983</v>
      </c>
      <c r="R32" s="3238" t="s">
        <v>2984</v>
      </c>
    </row>
    <row r="33" spans="1:17" ht="14.25" customHeight="1" thickBot="1">
      <c r="A33" s="3231" t="s">
        <v>296</v>
      </c>
      <c r="B33" s="3232" t="s">
        <v>147</v>
      </c>
      <c r="C33" s="3231">
        <v>27300</v>
      </c>
      <c r="D33" s="3231">
        <v>22980</v>
      </c>
      <c r="E33" s="3231">
        <v>24260</v>
      </c>
      <c r="F33" s="3231">
        <v>5860</v>
      </c>
      <c r="G33" s="3244">
        <v>16090</v>
      </c>
      <c r="L33" s="3238" t="s">
        <v>2985</v>
      </c>
      <c r="M33" s="3231" t="s">
        <v>2986</v>
      </c>
      <c r="N33" s="3231" t="s">
        <v>301</v>
      </c>
      <c r="O33" s="3231" t="s">
        <v>2987</v>
      </c>
      <c r="P33" s="3231" t="s">
        <v>2988</v>
      </c>
      <c r="Q33" s="3231" t="s">
        <v>2989</v>
      </c>
    </row>
    <row r="34" spans="1:17" ht="14.25" customHeight="1">
      <c r="A34" s="3231" t="s">
        <v>296</v>
      </c>
      <c r="B34" s="3232" t="s">
        <v>156</v>
      </c>
      <c r="C34" s="3231">
        <v>23090</v>
      </c>
      <c r="D34" s="3231">
        <v>23390</v>
      </c>
      <c r="E34" s="3231">
        <v>23510</v>
      </c>
      <c r="F34" s="3231">
        <v>6700</v>
      </c>
      <c r="G34" s="3244">
        <v>16370</v>
      </c>
      <c r="M34" s="3231" t="s">
        <v>2990</v>
      </c>
      <c r="N34" s="3231" t="s">
        <v>302</v>
      </c>
      <c r="O34" s="3231" t="s">
        <v>2991</v>
      </c>
      <c r="P34" s="3231" t="s">
        <v>2992</v>
      </c>
      <c r="Q34" s="3231" t="s">
        <v>2993</v>
      </c>
    </row>
    <row r="35" spans="1:17" ht="14.25" customHeight="1">
      <c r="A35" s="3231" t="s">
        <v>296</v>
      </c>
      <c r="B35" s="3232" t="s">
        <v>163</v>
      </c>
      <c r="C35" s="3231">
        <v>27270</v>
      </c>
      <c r="D35" s="3231">
        <v>24270</v>
      </c>
      <c r="E35" s="3231">
        <v>24950</v>
      </c>
      <c r="F35" s="3231">
        <v>6600</v>
      </c>
      <c r="G35" s="3244">
        <v>16990</v>
      </c>
      <c r="M35" s="3231" t="s">
        <v>2994</v>
      </c>
      <c r="N35" s="3231" t="s">
        <v>2995</v>
      </c>
      <c r="O35" s="3231" t="s">
        <v>2996</v>
      </c>
      <c r="P35" s="3231" t="s">
        <v>2997</v>
      </c>
      <c r="Q35" s="3231" t="s">
        <v>2998</v>
      </c>
    </row>
    <row r="36" spans="1:17" ht="14.25" customHeight="1">
      <c r="A36" s="3231" t="s">
        <v>296</v>
      </c>
      <c r="B36" s="3232" t="s">
        <v>169</v>
      </c>
      <c r="C36" s="3231">
        <v>23490</v>
      </c>
      <c r="D36" s="3231">
        <v>23020</v>
      </c>
      <c r="E36" s="3231">
        <v>25230</v>
      </c>
      <c r="F36" s="3231">
        <v>6780</v>
      </c>
      <c r="G36" s="3244">
        <v>16120</v>
      </c>
      <c r="M36" s="3231" t="s">
        <v>2999</v>
      </c>
      <c r="N36" s="3231" t="s">
        <v>3000</v>
      </c>
      <c r="O36" s="3231" t="s">
        <v>3001</v>
      </c>
      <c r="P36" s="3231" t="s">
        <v>3002</v>
      </c>
      <c r="Q36" s="3231" t="s">
        <v>3003</v>
      </c>
    </row>
    <row r="37" spans="1:17" ht="14.25" customHeight="1">
      <c r="A37" s="3231" t="s">
        <v>296</v>
      </c>
      <c r="B37" s="3232" t="s">
        <v>176</v>
      </c>
      <c r="C37" s="3231">
        <v>24380</v>
      </c>
      <c r="D37" s="3231">
        <v>22240</v>
      </c>
      <c r="E37" s="3231">
        <v>25980</v>
      </c>
      <c r="F37" s="3231">
        <v>8160</v>
      </c>
      <c r="G37" s="3244">
        <v>15570</v>
      </c>
      <c r="M37" s="3231" t="s">
        <v>3004</v>
      </c>
      <c r="N37" s="3231" t="s">
        <v>3005</v>
      </c>
      <c r="O37" s="3231" t="s">
        <v>3006</v>
      </c>
      <c r="P37" s="3231" t="s">
        <v>3007</v>
      </c>
      <c r="Q37" s="3231" t="s">
        <v>3008</v>
      </c>
    </row>
    <row r="38" spans="1:17" ht="14.25" customHeight="1">
      <c r="A38" s="3231" t="s">
        <v>296</v>
      </c>
      <c r="B38" s="3232" t="s">
        <v>186</v>
      </c>
      <c r="C38" s="3231">
        <v>23120</v>
      </c>
      <c r="D38" s="3231">
        <v>24630</v>
      </c>
      <c r="E38" s="3231">
        <v>25030</v>
      </c>
      <c r="F38" s="3231">
        <v>7710</v>
      </c>
      <c r="G38" s="3244">
        <v>17240</v>
      </c>
      <c r="M38" s="3231" t="s">
        <v>3009</v>
      </c>
      <c r="N38" s="3231" t="s">
        <v>3010</v>
      </c>
      <c r="O38" s="3231" t="s">
        <v>3011</v>
      </c>
      <c r="P38" s="3231" t="s">
        <v>3012</v>
      </c>
      <c r="Q38" s="3231" t="s">
        <v>3013</v>
      </c>
    </row>
    <row r="39" spans="1:17" ht="14.25" customHeight="1">
      <c r="A39" s="3231" t="s">
        <v>296</v>
      </c>
      <c r="B39" s="3232" t="s">
        <v>195</v>
      </c>
      <c r="C39" s="3231">
        <v>22330</v>
      </c>
      <c r="D39" s="3231">
        <v>21140</v>
      </c>
      <c r="E39" s="3231">
        <v>23970</v>
      </c>
      <c r="F39" s="3231">
        <v>7940</v>
      </c>
      <c r="G39" s="3244">
        <v>14790</v>
      </c>
      <c r="M39" s="3231" t="s">
        <v>3014</v>
      </c>
      <c r="N39" s="3231" t="s">
        <v>3015</v>
      </c>
      <c r="O39" s="3231" t="s">
        <v>3016</v>
      </c>
      <c r="P39" s="3231" t="s">
        <v>3017</v>
      </c>
      <c r="Q39" s="3231" t="s">
        <v>3018</v>
      </c>
    </row>
    <row r="40" spans="1:17" ht="14.25" customHeight="1">
      <c r="A40" s="3231" t="s">
        <v>296</v>
      </c>
      <c r="B40" s="3232" t="s">
        <v>202</v>
      </c>
      <c r="C40" s="3231">
        <v>24740</v>
      </c>
      <c r="D40" s="3231">
        <v>24690</v>
      </c>
      <c r="E40" s="3231">
        <v>22610</v>
      </c>
      <c r="F40" s="3231"/>
      <c r="G40" s="3244">
        <v>17280</v>
      </c>
      <c r="M40" s="3231" t="s">
        <v>3019</v>
      </c>
      <c r="N40" s="3231" t="s">
        <v>3020</v>
      </c>
      <c r="O40" s="3231" t="s">
        <v>3021</v>
      </c>
      <c r="P40" s="3231" t="s">
        <v>3022</v>
      </c>
      <c r="Q40" s="3231" t="s">
        <v>3023</v>
      </c>
    </row>
    <row r="41" spans="1:17" ht="14.25" customHeight="1" thickBot="1">
      <c r="A41" s="3231" t="s">
        <v>296</v>
      </c>
      <c r="B41" s="3232" t="s">
        <v>209</v>
      </c>
      <c r="C41" s="3231">
        <v>21220</v>
      </c>
      <c r="D41" s="3231">
        <v>21120</v>
      </c>
      <c r="E41" s="3231">
        <v>22590</v>
      </c>
      <c r="F41" s="3231"/>
      <c r="G41" s="3244">
        <v>14780</v>
      </c>
      <c r="M41" s="3238" t="s">
        <v>3024</v>
      </c>
      <c r="N41" s="3231" t="s">
        <v>3025</v>
      </c>
      <c r="O41" s="3231" t="s">
        <v>3026</v>
      </c>
      <c r="P41" s="3231" t="s">
        <v>3027</v>
      </c>
      <c r="Q41" s="3231" t="s">
        <v>3028</v>
      </c>
    </row>
    <row r="42" spans="1:17" ht="14.25" customHeight="1">
      <c r="A42" s="3231" t="s">
        <v>296</v>
      </c>
      <c r="B42" s="3232" t="s">
        <v>215</v>
      </c>
      <c r="C42" s="3231">
        <v>24800</v>
      </c>
      <c r="D42" s="3231">
        <v>22280</v>
      </c>
      <c r="E42" s="3231">
        <v>24350</v>
      </c>
      <c r="F42" s="3231"/>
      <c r="G42" s="3244">
        <v>15590</v>
      </c>
      <c r="N42" s="3231" t="s">
        <v>3029</v>
      </c>
      <c r="O42" s="3231" t="s">
        <v>3030</v>
      </c>
      <c r="P42" s="3231" t="s">
        <v>3031</v>
      </c>
      <c r="Q42" s="3231" t="s">
        <v>3032</v>
      </c>
    </row>
    <row r="43" spans="1:17" ht="14.25" customHeight="1">
      <c r="A43" s="3231" t="s">
        <v>3033</v>
      </c>
      <c r="B43" s="3232" t="s">
        <v>223</v>
      </c>
      <c r="C43" s="3231">
        <v>21210</v>
      </c>
      <c r="D43" s="3231">
        <v>21160</v>
      </c>
      <c r="E43" s="3231">
        <v>22650</v>
      </c>
      <c r="F43" s="3231"/>
      <c r="G43" s="3244">
        <v>14800</v>
      </c>
      <c r="N43" s="3231" t="s">
        <v>3034</v>
      </c>
      <c r="O43" s="3231" t="s">
        <v>3035</v>
      </c>
      <c r="P43" s="3231" t="s">
        <v>3036</v>
      </c>
      <c r="Q43" s="3231" t="s">
        <v>3037</v>
      </c>
    </row>
    <row r="44" spans="1:17" ht="14.25" customHeight="1" thickBot="1">
      <c r="A44" s="3231" t="s">
        <v>296</v>
      </c>
      <c r="B44" s="3232" t="s">
        <v>231</v>
      </c>
      <c r="C44" s="3231">
        <v>22370</v>
      </c>
      <c r="D44" s="3231">
        <v>23140</v>
      </c>
      <c r="E44" s="3231">
        <v>25090</v>
      </c>
      <c r="F44" s="3231"/>
      <c r="G44" s="3244">
        <v>16190</v>
      </c>
      <c r="N44" s="3231" t="s">
        <v>3038</v>
      </c>
      <c r="O44" s="3231" t="s">
        <v>3039</v>
      </c>
      <c r="P44" s="3238" t="s">
        <v>3040</v>
      </c>
      <c r="Q44" s="3231" t="s">
        <v>3041</v>
      </c>
    </row>
    <row r="45" spans="1:17" ht="14.25" customHeight="1" thickBot="1">
      <c r="A45" s="3231" t="s">
        <v>296</v>
      </c>
      <c r="B45" s="3232" t="s">
        <v>236</v>
      </c>
      <c r="C45" s="3231">
        <v>21240</v>
      </c>
      <c r="D45" s="3231">
        <v>27050</v>
      </c>
      <c r="E45" s="3231">
        <v>28000</v>
      </c>
      <c r="F45" s="3231"/>
      <c r="G45" s="3244">
        <v>18940</v>
      </c>
      <c r="N45" s="3231" t="s">
        <v>3042</v>
      </c>
      <c r="O45" s="3238" t="s">
        <v>3043</v>
      </c>
      <c r="Q45" s="3231" t="s">
        <v>3044</v>
      </c>
    </row>
    <row r="46" spans="1:17" ht="14.25" customHeight="1">
      <c r="A46" s="3231" t="s">
        <v>296</v>
      </c>
      <c r="B46" s="3232" t="s">
        <v>245</v>
      </c>
      <c r="C46" s="3231">
        <v>23240</v>
      </c>
      <c r="D46" s="3231">
        <v>23000</v>
      </c>
      <c r="E46" s="3231">
        <v>24980</v>
      </c>
      <c r="F46" s="3231"/>
      <c r="G46" s="3244">
        <v>16100</v>
      </c>
      <c r="N46" s="3231" t="s">
        <v>3045</v>
      </c>
      <c r="Q46" s="3231" t="s">
        <v>3046</v>
      </c>
    </row>
    <row r="47" spans="1:17" ht="14.25" customHeight="1">
      <c r="A47" s="3231" t="s">
        <v>296</v>
      </c>
      <c r="B47" s="3232" t="s">
        <v>252</v>
      </c>
      <c r="C47" s="3231">
        <v>27150</v>
      </c>
      <c r="D47" s="3231">
        <v>23310</v>
      </c>
      <c r="E47" s="3231">
        <v>25150</v>
      </c>
      <c r="F47" s="3231"/>
      <c r="G47" s="3244">
        <v>16310</v>
      </c>
      <c r="N47" s="3231" t="s">
        <v>3047</v>
      </c>
      <c r="Q47" s="3231" t="s">
        <v>3048</v>
      </c>
    </row>
    <row r="48" spans="1:17" ht="14.25" customHeight="1">
      <c r="A48" s="3231" t="s">
        <v>296</v>
      </c>
      <c r="B48" s="3232" t="s">
        <v>260</v>
      </c>
      <c r="C48" s="3231">
        <v>23100</v>
      </c>
      <c r="D48" s="3231">
        <v>21110</v>
      </c>
      <c r="E48" s="3231">
        <v>23080</v>
      </c>
      <c r="F48" s="3231"/>
      <c r="G48" s="3244">
        <v>14780</v>
      </c>
      <c r="N48" s="3231" t="s">
        <v>3049</v>
      </c>
      <c r="Q48" s="3231" t="s">
        <v>3050</v>
      </c>
    </row>
    <row r="49" spans="1:17" ht="14.25" customHeight="1">
      <c r="A49" s="3231" t="s">
        <v>296</v>
      </c>
      <c r="B49" s="3232" t="s">
        <v>267</v>
      </c>
      <c r="C49" s="3231">
        <v>23400</v>
      </c>
      <c r="D49" s="3231">
        <v>22920</v>
      </c>
      <c r="E49" s="3231">
        <v>24900</v>
      </c>
      <c r="F49" s="3231"/>
      <c r="G49" s="3244">
        <v>16040</v>
      </c>
      <c r="N49" s="3231" t="s">
        <v>3051</v>
      </c>
      <c r="Q49" s="3231" t="s">
        <v>3052</v>
      </c>
    </row>
    <row r="50" spans="1:17" ht="14.25" customHeight="1">
      <c r="A50" s="3231" t="s">
        <v>296</v>
      </c>
      <c r="B50" s="3232" t="s">
        <v>2929</v>
      </c>
      <c r="C50" s="3231">
        <v>21200</v>
      </c>
      <c r="D50" s="3231">
        <v>26540</v>
      </c>
      <c r="E50" s="3231">
        <v>23200</v>
      </c>
      <c r="F50" s="3231"/>
      <c r="G50" s="3244">
        <v>18580</v>
      </c>
      <c r="N50" s="3231" t="s">
        <v>3053</v>
      </c>
      <c r="Q50" s="3232" t="s">
        <v>3054</v>
      </c>
    </row>
    <row r="51" spans="1:17" ht="14.25" customHeight="1" thickBot="1">
      <c r="A51" s="3231" t="s">
        <v>296</v>
      </c>
      <c r="B51" s="3232" t="s">
        <v>2931</v>
      </c>
      <c r="C51" s="3231">
        <v>23000</v>
      </c>
      <c r="D51" s="3231">
        <v>23460</v>
      </c>
      <c r="E51" s="3231">
        <v>25290</v>
      </c>
      <c r="F51" s="3231"/>
      <c r="G51" s="3244">
        <v>16420</v>
      </c>
      <c r="N51" s="3231" t="s">
        <v>3055</v>
      </c>
      <c r="Q51" s="3238" t="s">
        <v>3056</v>
      </c>
    </row>
    <row r="52" spans="1:17" ht="14.25" customHeight="1">
      <c r="A52" s="3231" t="s">
        <v>296</v>
      </c>
      <c r="B52" s="3232" t="s">
        <v>2935</v>
      </c>
      <c r="C52" s="3231">
        <v>26660</v>
      </c>
      <c r="D52" s="3231">
        <v>22350</v>
      </c>
      <c r="E52" s="3231">
        <v>22920</v>
      </c>
      <c r="F52" s="3231"/>
      <c r="G52" s="3244">
        <v>15640</v>
      </c>
      <c r="N52" s="3231" t="s">
        <v>3057</v>
      </c>
    </row>
    <row r="53" spans="1:17" ht="14.25" customHeight="1">
      <c r="A53" s="3231" t="s">
        <v>296</v>
      </c>
      <c r="B53" s="3232" t="s">
        <v>2940</v>
      </c>
      <c r="C53" s="3231">
        <v>23580</v>
      </c>
      <c r="D53" s="3231"/>
      <c r="E53" s="3231">
        <v>24280</v>
      </c>
      <c r="F53" s="3231"/>
      <c r="G53" s="3244"/>
      <c r="N53" s="3231" t="s">
        <v>3058</v>
      </c>
    </row>
    <row r="54" spans="1:17" ht="14.25" customHeight="1" thickBot="1">
      <c r="A54" s="3245" t="s">
        <v>296</v>
      </c>
      <c r="B54" s="3237" t="s">
        <v>2943</v>
      </c>
      <c r="C54" s="3238">
        <v>22460</v>
      </c>
      <c r="D54" s="3238"/>
      <c r="E54" s="3238"/>
      <c r="F54" s="3238"/>
      <c r="G54" s="3246"/>
      <c r="N54" s="3231" t="s">
        <v>3059</v>
      </c>
    </row>
    <row r="55" spans="1:17" ht="14.25" customHeight="1">
      <c r="A55" s="3236" t="s">
        <v>110</v>
      </c>
      <c r="B55" s="3227" t="s">
        <v>3060</v>
      </c>
      <c r="C55" s="3231">
        <v>21970</v>
      </c>
      <c r="D55" s="3231">
        <v>20370</v>
      </c>
      <c r="E55" s="3231">
        <v>20180</v>
      </c>
      <c r="F55" s="3231">
        <v>5730</v>
      </c>
      <c r="G55" s="3231">
        <v>13820</v>
      </c>
      <c r="N55" s="3231" t="s">
        <v>3061</v>
      </c>
    </row>
    <row r="56" spans="1:17" ht="14.25" customHeight="1">
      <c r="A56" s="3231" t="s">
        <v>110</v>
      </c>
      <c r="B56" s="3231" t="s">
        <v>130</v>
      </c>
      <c r="C56" s="3231">
        <v>20470</v>
      </c>
      <c r="D56" s="3231">
        <v>20700</v>
      </c>
      <c r="E56" s="3231">
        <v>20380</v>
      </c>
      <c r="F56" s="3231">
        <v>4760</v>
      </c>
      <c r="G56" s="3231">
        <v>14050</v>
      </c>
      <c r="N56" s="3231" t="s">
        <v>3062</v>
      </c>
    </row>
    <row r="57" spans="1:17" ht="14.25" customHeight="1">
      <c r="A57" s="3231" t="s">
        <v>110</v>
      </c>
      <c r="B57" s="3231" t="s">
        <v>139</v>
      </c>
      <c r="C57" s="3231">
        <v>20790</v>
      </c>
      <c r="D57" s="3231">
        <v>21370</v>
      </c>
      <c r="E57" s="3231">
        <v>20890</v>
      </c>
      <c r="F57" s="3231">
        <v>4910</v>
      </c>
      <c r="G57" s="3231">
        <v>14510</v>
      </c>
      <c r="N57" s="3231" t="s">
        <v>3063</v>
      </c>
    </row>
    <row r="58" spans="1:17" ht="14.25" customHeight="1">
      <c r="A58" s="3231" t="s">
        <v>110</v>
      </c>
      <c r="B58" s="3231" t="s">
        <v>148</v>
      </c>
      <c r="C58" s="3231">
        <v>21460</v>
      </c>
      <c r="D58" s="3231">
        <v>20920</v>
      </c>
      <c r="E58" s="3231">
        <v>23410</v>
      </c>
      <c r="F58" s="3231">
        <v>5100</v>
      </c>
      <c r="G58" s="3231">
        <v>14200</v>
      </c>
      <c r="N58" s="3231" t="s">
        <v>3064</v>
      </c>
    </row>
    <row r="59" spans="1:17" ht="14.25" customHeight="1">
      <c r="A59" s="3231" t="s">
        <v>110</v>
      </c>
      <c r="B59" s="3231" t="s">
        <v>157</v>
      </c>
      <c r="C59" s="3231">
        <v>21000</v>
      </c>
      <c r="D59" s="3231">
        <v>21550</v>
      </c>
      <c r="E59" s="3231">
        <v>21150</v>
      </c>
      <c r="F59" s="3231">
        <v>5250</v>
      </c>
      <c r="G59" s="3231">
        <v>14630</v>
      </c>
      <c r="N59" s="3231" t="s">
        <v>3065</v>
      </c>
    </row>
    <row r="60" spans="1:17" ht="14.25" customHeight="1">
      <c r="A60" s="3231" t="s">
        <v>110</v>
      </c>
      <c r="B60" s="3231" t="s">
        <v>164</v>
      </c>
      <c r="C60" s="3231">
        <v>21640</v>
      </c>
      <c r="D60" s="3231">
        <v>21260</v>
      </c>
      <c r="E60" s="3231">
        <v>24040</v>
      </c>
      <c r="F60" s="3231">
        <v>4470</v>
      </c>
      <c r="G60" s="3231">
        <v>14430</v>
      </c>
      <c r="N60" s="3231" t="s">
        <v>3066</v>
      </c>
    </row>
    <row r="61" spans="1:17" ht="14.25" customHeight="1">
      <c r="A61" s="3231" t="s">
        <v>110</v>
      </c>
      <c r="B61" s="3231" t="s">
        <v>170</v>
      </c>
      <c r="C61" s="3231">
        <v>21330</v>
      </c>
      <c r="D61" s="3231">
        <v>18640</v>
      </c>
      <c r="E61" s="3231">
        <v>21190</v>
      </c>
      <c r="F61" s="3231">
        <v>4180</v>
      </c>
      <c r="G61" s="3231">
        <v>12650</v>
      </c>
      <c r="N61" s="3231" t="s">
        <v>3067</v>
      </c>
    </row>
    <row r="62" spans="1:17" ht="14.25" customHeight="1">
      <c r="A62" s="3231" t="s">
        <v>110</v>
      </c>
      <c r="B62" s="3231" t="s">
        <v>177</v>
      </c>
      <c r="C62" s="3231">
        <v>18710</v>
      </c>
      <c r="D62" s="3231">
        <v>19400</v>
      </c>
      <c r="E62" s="3231">
        <v>23750</v>
      </c>
      <c r="F62" s="3231">
        <v>4860</v>
      </c>
      <c r="G62" s="3231">
        <v>13170</v>
      </c>
      <c r="N62" s="3231" t="s">
        <v>3068</v>
      </c>
    </row>
    <row r="63" spans="1:17" ht="14.25" customHeight="1">
      <c r="A63" s="3231" t="s">
        <v>110</v>
      </c>
      <c r="B63" s="3231" t="s">
        <v>187</v>
      </c>
      <c r="C63" s="3231">
        <v>19480</v>
      </c>
      <c r="D63" s="3231">
        <v>16830</v>
      </c>
      <c r="E63" s="3231">
        <v>21590</v>
      </c>
      <c r="F63" s="3231">
        <v>4560</v>
      </c>
      <c r="G63" s="3231">
        <v>11420</v>
      </c>
      <c r="N63" s="3231" t="s">
        <v>3069</v>
      </c>
    </row>
    <row r="64" spans="1:17" ht="14.25" customHeight="1" thickBot="1">
      <c r="A64" s="3231" t="s">
        <v>110</v>
      </c>
      <c r="B64" s="3231" t="s">
        <v>196</v>
      </c>
      <c r="C64" s="3231">
        <v>16920</v>
      </c>
      <c r="D64" s="3231">
        <v>19190</v>
      </c>
      <c r="E64" s="3231">
        <v>22200</v>
      </c>
      <c r="F64" s="3231">
        <v>4390</v>
      </c>
      <c r="G64" s="3231">
        <v>13030</v>
      </c>
      <c r="N64" s="3238" t="s">
        <v>3070</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2941</v>
      </c>
      <c r="C78" s="3231">
        <v>19820</v>
      </c>
      <c r="D78" s="3231">
        <v>19780</v>
      </c>
      <c r="E78" s="3231">
        <v>18560</v>
      </c>
      <c r="F78" s="3231"/>
      <c r="G78" s="3231">
        <v>13430</v>
      </c>
    </row>
    <row r="79" spans="1:7" s="3220" customFormat="1" ht="14.25" customHeight="1">
      <c r="A79" s="3231" t="s">
        <v>110</v>
      </c>
      <c r="B79" s="3231" t="s">
        <v>2944</v>
      </c>
      <c r="C79" s="3231">
        <v>21660</v>
      </c>
      <c r="D79" s="3231">
        <v>18000</v>
      </c>
      <c r="E79" s="3231">
        <v>22570</v>
      </c>
      <c r="F79" s="3231"/>
      <c r="G79" s="3231">
        <v>12220</v>
      </c>
    </row>
    <row r="80" spans="1:7" s="3220" customFormat="1" ht="14.25" customHeight="1">
      <c r="A80" s="3231" t="s">
        <v>110</v>
      </c>
      <c r="B80" s="3231" t="s">
        <v>2948</v>
      </c>
      <c r="C80" s="3231">
        <v>19850</v>
      </c>
      <c r="D80" s="3231"/>
      <c r="E80" s="3231">
        <v>21700</v>
      </c>
      <c r="F80" s="3231"/>
      <c r="G80" s="3231"/>
    </row>
    <row r="81" spans="1:7" s="3220" customFormat="1" ht="14.25" customHeight="1">
      <c r="A81" s="3231" t="s">
        <v>110</v>
      </c>
      <c r="B81" s="3231" t="s">
        <v>2953</v>
      </c>
      <c r="C81" s="3231">
        <v>18080</v>
      </c>
      <c r="D81" s="3231"/>
      <c r="E81" s="3231">
        <v>20900</v>
      </c>
      <c r="F81" s="3231"/>
      <c r="G81" s="3231"/>
    </row>
    <row r="82" spans="1:7" s="3220" customFormat="1" ht="14.25" customHeight="1">
      <c r="A82" s="3231" t="s">
        <v>110</v>
      </c>
      <c r="B82" s="3231" t="s">
        <v>2960</v>
      </c>
      <c r="C82" s="3231"/>
      <c r="D82" s="3231"/>
      <c r="E82" s="3231">
        <v>20840</v>
      </c>
      <c r="F82" s="3231"/>
      <c r="G82" s="3231"/>
    </row>
    <row r="83" spans="1:7" s="3220" customFormat="1" ht="14.25" customHeight="1">
      <c r="A83" s="3231" t="s">
        <v>110</v>
      </c>
      <c r="B83" s="3231" t="s">
        <v>3071</v>
      </c>
      <c r="C83" s="3231"/>
      <c r="D83" s="3231"/>
      <c r="E83" s="3231"/>
      <c r="F83" s="3231">
        <v>4770</v>
      </c>
      <c r="G83" s="3231"/>
    </row>
    <row r="84" spans="1:7" s="3220" customFormat="1" ht="14.25" customHeight="1">
      <c r="A84" s="3231" t="s">
        <v>110</v>
      </c>
      <c r="B84" s="3231" t="s">
        <v>3072</v>
      </c>
      <c r="C84" s="3231"/>
      <c r="D84" s="3231"/>
      <c r="E84" s="3231"/>
      <c r="F84" s="3231">
        <v>4600</v>
      </c>
      <c r="G84" s="3231"/>
    </row>
    <row r="85" spans="1:7" s="3220" customFormat="1" ht="14.25" customHeight="1">
      <c r="A85" s="3231" t="s">
        <v>110</v>
      </c>
      <c r="B85" s="3231" t="s">
        <v>3073</v>
      </c>
      <c r="C85" s="3231"/>
      <c r="D85" s="3231"/>
      <c r="E85" s="3231"/>
      <c r="F85" s="3231">
        <v>4680</v>
      </c>
      <c r="G85" s="3231"/>
    </row>
    <row r="86" spans="1:7" s="3220" customFormat="1" ht="14.25" customHeight="1" thickBot="1">
      <c r="A86" s="3239" t="s">
        <v>110</v>
      </c>
      <c r="B86" s="3241" t="s">
        <v>3074</v>
      </c>
      <c r="C86" s="3242">
        <v>16610</v>
      </c>
      <c r="D86" s="3242">
        <v>16540</v>
      </c>
      <c r="E86" s="3242">
        <v>18850</v>
      </c>
      <c r="F86" s="3242"/>
      <c r="G86" s="3242">
        <v>11220</v>
      </c>
    </row>
    <row r="87" spans="1:7" s="3220" customFormat="1" ht="14.25" customHeight="1">
      <c r="A87" s="3236" t="s">
        <v>303</v>
      </c>
      <c r="B87" s="3227" t="s">
        <v>3075</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2954</v>
      </c>
      <c r="C113" s="3231">
        <v>15520</v>
      </c>
      <c r="D113" s="3231">
        <v>15450</v>
      </c>
      <c r="E113" s="3231"/>
      <c r="F113" s="3231"/>
      <c r="G113" s="3244">
        <v>10210</v>
      </c>
    </row>
    <row r="114" spans="1:7" s="3220" customFormat="1" ht="14.25" customHeight="1">
      <c r="A114" s="3231" t="s">
        <v>303</v>
      </c>
      <c r="B114" s="3231" t="s">
        <v>2961</v>
      </c>
      <c r="C114" s="3231">
        <v>13110</v>
      </c>
      <c r="D114" s="3231">
        <v>13050</v>
      </c>
      <c r="E114" s="3231"/>
      <c r="F114" s="3231"/>
      <c r="G114" s="3244">
        <v>8620</v>
      </c>
    </row>
    <row r="115" spans="1:7" s="3220" customFormat="1" ht="14.25" customHeight="1">
      <c r="A115" s="3231" t="s">
        <v>303</v>
      </c>
      <c r="B115" s="3231" t="s">
        <v>2967</v>
      </c>
      <c r="C115" s="3231">
        <v>12460</v>
      </c>
      <c r="D115" s="3231">
        <v>12390</v>
      </c>
      <c r="E115" s="3231"/>
      <c r="F115" s="3231"/>
      <c r="G115" s="3244">
        <v>8190</v>
      </c>
    </row>
    <row r="116" spans="1:7" s="3220" customFormat="1" ht="14.25" customHeight="1">
      <c r="A116" s="3231" t="s">
        <v>303</v>
      </c>
      <c r="B116" s="3231" t="s">
        <v>2974</v>
      </c>
      <c r="C116" s="3231">
        <v>13580</v>
      </c>
      <c r="D116" s="3231">
        <v>13520</v>
      </c>
      <c r="E116" s="3231"/>
      <c r="F116" s="3231"/>
      <c r="G116" s="3244">
        <v>8930</v>
      </c>
    </row>
    <row r="117" spans="1:7" s="3220" customFormat="1" ht="14.25" customHeight="1">
      <c r="A117" s="3231" t="s">
        <v>303</v>
      </c>
      <c r="B117" s="3231" t="s">
        <v>2981</v>
      </c>
      <c r="C117" s="3231">
        <v>17120</v>
      </c>
      <c r="D117" s="3231">
        <v>17040</v>
      </c>
      <c r="E117" s="3231"/>
      <c r="F117" s="3231"/>
      <c r="G117" s="3244">
        <v>11260</v>
      </c>
    </row>
    <row r="118" spans="1:7" s="3220" customFormat="1" ht="14.25" customHeight="1">
      <c r="A118" s="3231" t="s">
        <v>303</v>
      </c>
      <c r="B118" s="3231" t="s">
        <v>2986</v>
      </c>
      <c r="C118" s="3231">
        <v>14860</v>
      </c>
      <c r="D118" s="3231">
        <v>14790</v>
      </c>
      <c r="E118" s="3231"/>
      <c r="F118" s="3231"/>
      <c r="G118" s="3244">
        <v>9780</v>
      </c>
    </row>
    <row r="119" spans="1:7" s="3220" customFormat="1" ht="14.25" customHeight="1">
      <c r="A119" s="3231" t="s">
        <v>303</v>
      </c>
      <c r="B119" s="3231" t="s">
        <v>2990</v>
      </c>
      <c r="C119" s="3231">
        <v>16470</v>
      </c>
      <c r="D119" s="3231">
        <v>16400</v>
      </c>
      <c r="E119" s="3231"/>
      <c r="F119" s="3231"/>
      <c r="G119" s="3244">
        <v>10840</v>
      </c>
    </row>
    <row r="120" spans="1:7" s="3220" customFormat="1" ht="14.25" customHeight="1">
      <c r="A120" s="3231" t="s">
        <v>303</v>
      </c>
      <c r="B120" s="3231" t="s">
        <v>3076</v>
      </c>
      <c r="C120" s="3231"/>
      <c r="D120" s="3231"/>
      <c r="E120" s="3231"/>
      <c r="F120" s="3231">
        <v>4160</v>
      </c>
      <c r="G120" s="3244"/>
    </row>
    <row r="121" spans="1:7" s="3220" customFormat="1" ht="14.25" customHeight="1">
      <c r="A121" s="3231" t="s">
        <v>303</v>
      </c>
      <c r="B121" s="3231" t="s">
        <v>3077</v>
      </c>
      <c r="C121" s="3231"/>
      <c r="D121" s="3231"/>
      <c r="E121" s="3231"/>
      <c r="F121" s="3231">
        <v>3880</v>
      </c>
      <c r="G121" s="3244"/>
    </row>
    <row r="122" spans="1:7" s="3220" customFormat="1" ht="14.25" customHeight="1">
      <c r="A122" s="3231" t="s">
        <v>303</v>
      </c>
      <c r="B122" s="3231" t="s">
        <v>3078</v>
      </c>
      <c r="C122" s="3231">
        <v>13750</v>
      </c>
      <c r="D122" s="3231">
        <v>13680</v>
      </c>
      <c r="E122" s="3231">
        <v>16460</v>
      </c>
      <c r="F122" s="3231">
        <v>2880</v>
      </c>
      <c r="G122" s="3244">
        <v>9040</v>
      </c>
    </row>
    <row r="123" spans="1:7" s="3220" customFormat="1" ht="14.25" customHeight="1">
      <c r="A123" s="3231" t="s">
        <v>303</v>
      </c>
      <c r="B123" s="3231" t="s">
        <v>3009</v>
      </c>
      <c r="C123" s="3231">
        <v>13590</v>
      </c>
      <c r="D123" s="3231">
        <v>13520</v>
      </c>
      <c r="E123" s="3231">
        <v>16290</v>
      </c>
      <c r="F123" s="3231">
        <v>2790</v>
      </c>
      <c r="G123" s="3244">
        <v>8930</v>
      </c>
    </row>
    <row r="124" spans="1:7" s="3220" customFormat="1" ht="14.25" customHeight="1">
      <c r="A124" s="3231" t="s">
        <v>303</v>
      </c>
      <c r="B124" s="3231" t="s">
        <v>3014</v>
      </c>
      <c r="C124" s="3231">
        <v>13400</v>
      </c>
      <c r="D124" s="3231">
        <v>13320</v>
      </c>
      <c r="E124" s="3231">
        <v>16100</v>
      </c>
      <c r="F124" s="3231">
        <v>2320</v>
      </c>
      <c r="G124" s="3244">
        <v>8800</v>
      </c>
    </row>
    <row r="125" spans="1:7" s="3220" customFormat="1" ht="14.25" customHeight="1">
      <c r="A125" s="3231" t="s">
        <v>303</v>
      </c>
      <c r="B125" s="3231" t="s">
        <v>3019</v>
      </c>
      <c r="C125" s="3231">
        <v>12860</v>
      </c>
      <c r="D125" s="3231">
        <v>12790</v>
      </c>
      <c r="E125" s="3231">
        <v>15370</v>
      </c>
      <c r="F125" s="3231">
        <v>2280</v>
      </c>
      <c r="G125" s="3244">
        <v>8450</v>
      </c>
    </row>
    <row r="126" spans="1:7" s="3220" customFormat="1" ht="14.25" customHeight="1" thickBot="1">
      <c r="A126" s="3245" t="s">
        <v>303</v>
      </c>
      <c r="B126" s="3238" t="s">
        <v>3024</v>
      </c>
      <c r="C126" s="3238">
        <v>12960</v>
      </c>
      <c r="D126" s="3238">
        <v>12890</v>
      </c>
      <c r="E126" s="3238">
        <v>15530</v>
      </c>
      <c r="F126" s="3238">
        <v>2910</v>
      </c>
      <c r="G126" s="3246">
        <v>8520</v>
      </c>
    </row>
    <row r="127" spans="1:7" s="3220" customFormat="1" ht="14.25" customHeight="1">
      <c r="A127" s="3236" t="s">
        <v>29</v>
      </c>
      <c r="B127" s="3227" t="s">
        <v>3079</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3080</v>
      </c>
      <c r="C148" s="3231">
        <v>10370</v>
      </c>
      <c r="D148" s="3231">
        <v>10310</v>
      </c>
      <c r="E148" s="3231">
        <v>12970</v>
      </c>
      <c r="F148" s="3231"/>
      <c r="G148" s="3231">
        <v>6630</v>
      </c>
    </row>
    <row r="149" spans="1:7" s="3220" customFormat="1" ht="14.25" customHeight="1">
      <c r="A149" s="3231" t="s">
        <v>29</v>
      </c>
      <c r="B149" s="3231" t="s">
        <v>3081</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2955</v>
      </c>
      <c r="C153" s="3231">
        <v>10880</v>
      </c>
      <c r="D153" s="3231">
        <v>10820</v>
      </c>
      <c r="E153" s="3231">
        <v>13660</v>
      </c>
      <c r="F153" s="3231">
        <v>2260</v>
      </c>
      <c r="G153" s="3231">
        <v>6970</v>
      </c>
    </row>
    <row r="154" spans="1:7" s="3220" customFormat="1" ht="14.25" customHeight="1">
      <c r="A154" s="3231" t="s">
        <v>29</v>
      </c>
      <c r="B154" s="3231" t="s">
        <v>3082</v>
      </c>
      <c r="C154" s="3231">
        <v>11220</v>
      </c>
      <c r="D154" s="3231">
        <v>11160</v>
      </c>
      <c r="E154" s="3231">
        <v>14130</v>
      </c>
      <c r="F154" s="3231">
        <v>2230</v>
      </c>
      <c r="G154" s="3231">
        <v>7180</v>
      </c>
    </row>
    <row r="155" spans="1:7" s="3220" customFormat="1" ht="14.25" customHeight="1">
      <c r="A155" s="3231" t="s">
        <v>29</v>
      </c>
      <c r="B155" s="3231" t="s">
        <v>2968</v>
      </c>
      <c r="C155" s="3231">
        <v>10430</v>
      </c>
      <c r="D155" s="3231">
        <v>10380</v>
      </c>
      <c r="E155" s="3231">
        <v>13140</v>
      </c>
      <c r="F155" s="3231">
        <v>2080</v>
      </c>
      <c r="G155" s="3231">
        <v>6650</v>
      </c>
    </row>
    <row r="156" spans="1:7" s="3220" customFormat="1" ht="14.25" customHeight="1">
      <c r="A156" s="3231" t="s">
        <v>29</v>
      </c>
      <c r="B156" s="3231" t="s">
        <v>3083</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3084</v>
      </c>
      <c r="C160" s="3231">
        <v>11180</v>
      </c>
      <c r="D160" s="3231">
        <v>11140</v>
      </c>
      <c r="E160" s="3231">
        <v>14050</v>
      </c>
      <c r="F160" s="3231">
        <v>2270</v>
      </c>
      <c r="G160" s="3231">
        <v>7170</v>
      </c>
    </row>
    <row r="161" spans="1:7" s="3220" customFormat="1" ht="14.25" customHeight="1">
      <c r="A161" s="3231" t="s">
        <v>29</v>
      </c>
      <c r="B161" s="3231" t="s">
        <v>3000</v>
      </c>
      <c r="C161" s="3231">
        <v>11160</v>
      </c>
      <c r="D161" s="3231">
        <v>11120</v>
      </c>
      <c r="E161" s="3231">
        <v>14020</v>
      </c>
      <c r="F161" s="3231">
        <v>2150</v>
      </c>
      <c r="G161" s="3231">
        <v>7160</v>
      </c>
    </row>
    <row r="162" spans="1:7" s="3220" customFormat="1" ht="14.25" customHeight="1">
      <c r="A162" s="3231" t="s">
        <v>29</v>
      </c>
      <c r="B162" s="3231" t="s">
        <v>3005</v>
      </c>
      <c r="C162" s="3231">
        <v>9620</v>
      </c>
      <c r="D162" s="3231">
        <v>9570</v>
      </c>
      <c r="E162" s="3231">
        <v>12320</v>
      </c>
      <c r="F162" s="3231">
        <v>2010</v>
      </c>
      <c r="G162" s="3231">
        <v>6160</v>
      </c>
    </row>
    <row r="163" spans="1:7" s="3220" customFormat="1" ht="14.25" customHeight="1">
      <c r="A163" s="3231" t="s">
        <v>29</v>
      </c>
      <c r="B163" s="3231" t="s">
        <v>3010</v>
      </c>
      <c r="C163" s="3231">
        <v>9320</v>
      </c>
      <c r="D163" s="3231">
        <v>9270</v>
      </c>
      <c r="E163" s="3231">
        <v>11790</v>
      </c>
      <c r="F163" s="3231">
        <v>1920</v>
      </c>
      <c r="G163" s="3231">
        <v>5960</v>
      </c>
    </row>
    <row r="164" spans="1:7" s="3220" customFormat="1" ht="14.25" customHeight="1">
      <c r="A164" s="3231" t="s">
        <v>29</v>
      </c>
      <c r="B164" s="3231" t="s">
        <v>3015</v>
      </c>
      <c r="C164" s="3231"/>
      <c r="D164" s="3231"/>
      <c r="E164" s="3231"/>
      <c r="F164" s="3231">
        <v>1980</v>
      </c>
      <c r="G164" s="3231"/>
    </row>
    <row r="165" spans="1:7" s="3220" customFormat="1" ht="14.25" customHeight="1">
      <c r="A165" s="3231" t="s">
        <v>29</v>
      </c>
      <c r="B165" s="3231" t="s">
        <v>3085</v>
      </c>
      <c r="C165" s="3231">
        <v>11060</v>
      </c>
      <c r="D165" s="3231">
        <v>11030</v>
      </c>
      <c r="E165" s="3231">
        <v>13850</v>
      </c>
      <c r="F165" s="3231">
        <v>2170</v>
      </c>
      <c r="G165" s="3231">
        <v>7090</v>
      </c>
    </row>
    <row r="166" spans="1:7" s="3220" customFormat="1" ht="14.25" customHeight="1">
      <c r="A166" s="3231" t="s">
        <v>29</v>
      </c>
      <c r="B166" s="3231" t="s">
        <v>3025</v>
      </c>
      <c r="C166" s="3231">
        <v>11050</v>
      </c>
      <c r="D166" s="3231">
        <v>11010</v>
      </c>
      <c r="E166" s="3231">
        <v>13920</v>
      </c>
      <c r="F166" s="3231">
        <v>2140</v>
      </c>
      <c r="G166" s="3231">
        <v>7080</v>
      </c>
    </row>
    <row r="167" spans="1:7" s="3220" customFormat="1" ht="14.25" customHeight="1">
      <c r="A167" s="3231" t="s">
        <v>29</v>
      </c>
      <c r="B167" s="3231" t="s">
        <v>3029</v>
      </c>
      <c r="C167" s="3231">
        <v>10930</v>
      </c>
      <c r="D167" s="3231">
        <v>10890</v>
      </c>
      <c r="E167" s="3231">
        <v>13790</v>
      </c>
      <c r="F167" s="3231">
        <v>2010</v>
      </c>
      <c r="G167" s="3231">
        <v>7000</v>
      </c>
    </row>
    <row r="168" spans="1:7" s="3220" customFormat="1" ht="14.25" customHeight="1">
      <c r="A168" s="3231" t="s">
        <v>29</v>
      </c>
      <c r="B168" s="3231" t="s">
        <v>3034</v>
      </c>
      <c r="C168" s="3231">
        <v>9420</v>
      </c>
      <c r="D168" s="3231">
        <v>9380</v>
      </c>
      <c r="E168" s="3231">
        <v>11970</v>
      </c>
      <c r="F168" s="3231"/>
      <c r="G168" s="3231">
        <v>6040</v>
      </c>
    </row>
    <row r="169" spans="1:7" s="3220" customFormat="1" ht="14.25" customHeight="1">
      <c r="A169" s="3231" t="s">
        <v>29</v>
      </c>
      <c r="B169" s="3231" t="s">
        <v>3086</v>
      </c>
      <c r="C169" s="3231"/>
      <c r="D169" s="3231"/>
      <c r="E169" s="3231"/>
      <c r="F169" s="3231">
        <v>2880</v>
      </c>
      <c r="G169" s="3231"/>
    </row>
    <row r="170" spans="1:7" s="3220" customFormat="1" ht="14.25" customHeight="1">
      <c r="A170" s="3231" t="s">
        <v>29</v>
      </c>
      <c r="B170" s="3231" t="s">
        <v>3042</v>
      </c>
      <c r="C170" s="3231"/>
      <c r="D170" s="3231"/>
      <c r="E170" s="3231"/>
      <c r="F170" s="3231">
        <v>2880</v>
      </c>
      <c r="G170" s="3231"/>
    </row>
    <row r="171" spans="1:7" s="3220" customFormat="1" ht="14.25" customHeight="1">
      <c r="A171" s="3231" t="s">
        <v>29</v>
      </c>
      <c r="B171" s="3231" t="s">
        <v>3045</v>
      </c>
      <c r="C171" s="3231"/>
      <c r="D171" s="3231"/>
      <c r="E171" s="3231"/>
      <c r="F171" s="3231">
        <v>2880</v>
      </c>
      <c r="G171" s="3231"/>
    </row>
    <row r="172" spans="1:7" s="3220" customFormat="1" ht="14.25" customHeight="1">
      <c r="A172" s="3231" t="s">
        <v>29</v>
      </c>
      <c r="B172" s="3231" t="s">
        <v>3047</v>
      </c>
      <c r="C172" s="3231"/>
      <c r="D172" s="3231"/>
      <c r="E172" s="3231"/>
      <c r="F172" s="3231">
        <v>2880</v>
      </c>
      <c r="G172" s="3231"/>
    </row>
    <row r="173" spans="1:7" s="3220" customFormat="1" ht="14.25" customHeight="1">
      <c r="A173" s="3231" t="s">
        <v>29</v>
      </c>
      <c r="B173" s="3231" t="s">
        <v>3049</v>
      </c>
      <c r="C173" s="3231"/>
      <c r="D173" s="3231"/>
      <c r="E173" s="3231"/>
      <c r="F173" s="3231">
        <v>2150</v>
      </c>
      <c r="G173" s="3231"/>
    </row>
    <row r="174" spans="1:7" s="3220" customFormat="1" ht="14.25" customHeight="1">
      <c r="A174" s="3231" t="s">
        <v>29</v>
      </c>
      <c r="B174" s="3231" t="s">
        <v>3051</v>
      </c>
      <c r="C174" s="3231"/>
      <c r="D174" s="3231"/>
      <c r="E174" s="3231"/>
      <c r="F174" s="3231">
        <v>2030</v>
      </c>
      <c r="G174" s="3231"/>
    </row>
    <row r="175" spans="1:7" s="3220" customFormat="1" ht="14.25" customHeight="1">
      <c r="A175" s="3231" t="s">
        <v>29</v>
      </c>
      <c r="B175" s="3231" t="s">
        <v>3053</v>
      </c>
      <c r="C175" s="3231"/>
      <c r="D175" s="3231"/>
      <c r="E175" s="3231"/>
      <c r="F175" s="3231">
        <v>2780</v>
      </c>
      <c r="G175" s="3231"/>
    </row>
    <row r="176" spans="1:7" s="3220" customFormat="1" ht="14.25" customHeight="1">
      <c r="A176" s="3231" t="s">
        <v>29</v>
      </c>
      <c r="B176" s="3231" t="s">
        <v>3055</v>
      </c>
      <c r="C176" s="3231"/>
      <c r="D176" s="3231"/>
      <c r="E176" s="3231"/>
      <c r="F176" s="3231">
        <v>2780</v>
      </c>
      <c r="G176" s="3231"/>
    </row>
    <row r="177" spans="1:7" s="3220" customFormat="1" ht="14.25" customHeight="1">
      <c r="A177" s="3231" t="s">
        <v>29</v>
      </c>
      <c r="B177" s="3231" t="s">
        <v>3087</v>
      </c>
      <c r="C177" s="3231"/>
      <c r="D177" s="3231"/>
      <c r="E177" s="3231"/>
      <c r="F177" s="3231">
        <v>2780</v>
      </c>
      <c r="G177" s="3231"/>
    </row>
    <row r="178" spans="1:7" s="3220" customFormat="1" ht="14.25" customHeight="1">
      <c r="A178" s="3231" t="s">
        <v>29</v>
      </c>
      <c r="B178" s="3231" t="s">
        <v>3088</v>
      </c>
      <c r="C178" s="3231"/>
      <c r="D178" s="3231"/>
      <c r="E178" s="3231"/>
      <c r="F178" s="3231">
        <v>2060</v>
      </c>
      <c r="G178" s="3231"/>
    </row>
    <row r="179" spans="1:7" s="3220" customFormat="1" ht="14.25" customHeight="1">
      <c r="A179" s="3231" t="s">
        <v>29</v>
      </c>
      <c r="B179" s="3231" t="s">
        <v>3089</v>
      </c>
      <c r="C179" s="3231"/>
      <c r="D179" s="3231"/>
      <c r="E179" s="3231"/>
      <c r="F179" s="3231">
        <v>2120</v>
      </c>
      <c r="G179" s="3231"/>
    </row>
    <row r="180" spans="1:7" s="3220" customFormat="1" ht="14.25" customHeight="1">
      <c r="A180" s="3231" t="s">
        <v>29</v>
      </c>
      <c r="B180" s="3231" t="s">
        <v>3061</v>
      </c>
      <c r="C180" s="3231"/>
      <c r="D180" s="3231"/>
      <c r="E180" s="3231"/>
      <c r="F180" s="3231">
        <v>2340</v>
      </c>
      <c r="G180" s="3231"/>
    </row>
    <row r="181" spans="1:7" s="3220" customFormat="1" ht="14.25" customHeight="1">
      <c r="A181" s="3231" t="s">
        <v>29</v>
      </c>
      <c r="B181" s="3231" t="s">
        <v>3062</v>
      </c>
      <c r="C181" s="3231"/>
      <c r="D181" s="3231"/>
      <c r="E181" s="3231"/>
      <c r="F181" s="3231">
        <v>2340</v>
      </c>
      <c r="G181" s="3231"/>
    </row>
    <row r="182" spans="1:7" s="3220" customFormat="1" ht="14.25" customHeight="1">
      <c r="A182" s="3231" t="s">
        <v>29</v>
      </c>
      <c r="B182" s="3231" t="s">
        <v>3063</v>
      </c>
      <c r="C182" s="3231"/>
      <c r="D182" s="3231"/>
      <c r="E182" s="3231"/>
      <c r="F182" s="3231">
        <v>2340</v>
      </c>
      <c r="G182" s="3231"/>
    </row>
    <row r="183" spans="1:7" s="3220" customFormat="1" ht="14.25" customHeight="1">
      <c r="A183" s="3231" t="s">
        <v>29</v>
      </c>
      <c r="B183" s="3231" t="s">
        <v>3064</v>
      </c>
      <c r="C183" s="3231"/>
      <c r="D183" s="3231"/>
      <c r="E183" s="3231"/>
      <c r="F183" s="3231">
        <v>2340</v>
      </c>
      <c r="G183" s="3231"/>
    </row>
    <row r="184" spans="1:7" s="3220" customFormat="1" ht="14.25" customHeight="1">
      <c r="A184" s="3231" t="s">
        <v>29</v>
      </c>
      <c r="B184" s="3231" t="s">
        <v>3065</v>
      </c>
      <c r="C184" s="3231"/>
      <c r="D184" s="3231"/>
      <c r="E184" s="3231"/>
      <c r="F184" s="3231">
        <v>2340</v>
      </c>
      <c r="G184" s="3231"/>
    </row>
    <row r="185" spans="1:7" s="3220" customFormat="1" ht="14.25" customHeight="1">
      <c r="A185" s="3231" t="s">
        <v>29</v>
      </c>
      <c r="B185" s="3231" t="s">
        <v>3066</v>
      </c>
      <c r="C185" s="3231"/>
      <c r="D185" s="3231"/>
      <c r="E185" s="3231"/>
      <c r="F185" s="3231">
        <v>2530</v>
      </c>
      <c r="G185" s="3231"/>
    </row>
    <row r="186" spans="1:7" s="3220" customFormat="1" ht="14.25" customHeight="1">
      <c r="A186" s="3231" t="s">
        <v>29</v>
      </c>
      <c r="B186" s="3231" t="s">
        <v>3067</v>
      </c>
      <c r="C186" s="3231"/>
      <c r="D186" s="3231"/>
      <c r="E186" s="3231"/>
      <c r="F186" s="3231">
        <v>2550</v>
      </c>
      <c r="G186" s="3231"/>
    </row>
    <row r="187" spans="1:7" s="3220" customFormat="1" ht="14.25" customHeight="1">
      <c r="A187" s="3231" t="s">
        <v>29</v>
      </c>
      <c r="B187" s="3231" t="s">
        <v>3068</v>
      </c>
      <c r="C187" s="3231"/>
      <c r="D187" s="3231"/>
      <c r="E187" s="3231"/>
      <c r="F187" s="3231">
        <v>2070</v>
      </c>
      <c r="G187" s="3231"/>
    </row>
    <row r="188" spans="1:7" s="3220" customFormat="1" ht="14.25" customHeight="1">
      <c r="A188" s="3231" t="s">
        <v>29</v>
      </c>
      <c r="B188" s="3231" t="s">
        <v>3069</v>
      </c>
      <c r="C188" s="3231"/>
      <c r="D188" s="3231"/>
      <c r="E188" s="3231"/>
      <c r="F188" s="3231">
        <v>2340</v>
      </c>
      <c r="G188" s="3231"/>
    </row>
    <row r="189" spans="1:7" s="3220" customFormat="1" ht="14.25" customHeight="1" thickBot="1">
      <c r="A189" s="3239" t="s">
        <v>29</v>
      </c>
      <c r="B189" s="3242" t="s">
        <v>3070</v>
      </c>
      <c r="C189" s="3242"/>
      <c r="D189" s="3242"/>
      <c r="E189" s="3242"/>
      <c r="F189" s="3242">
        <v>2050</v>
      </c>
      <c r="G189" s="3242"/>
    </row>
    <row r="190" spans="1:7" s="3220" customFormat="1" ht="14.25" customHeight="1">
      <c r="A190" s="3236" t="s">
        <v>304</v>
      </c>
      <c r="B190" s="3227" t="s">
        <v>3090</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3091</v>
      </c>
      <c r="C199" s="3231">
        <v>8690</v>
      </c>
      <c r="D199" s="3231">
        <v>8630</v>
      </c>
      <c r="E199" s="3231">
        <v>11350</v>
      </c>
      <c r="F199" s="3231">
        <v>1600</v>
      </c>
      <c r="G199" s="3244">
        <v>5450</v>
      </c>
    </row>
    <row r="200" spans="1:7" s="3220" customFormat="1" ht="14.25" customHeight="1">
      <c r="A200" s="3231" t="s">
        <v>304</v>
      </c>
      <c r="B200" s="3231" t="s">
        <v>2902</v>
      </c>
      <c r="C200" s="3231"/>
      <c r="D200" s="3231"/>
      <c r="E200" s="3231"/>
      <c r="F200" s="3231">
        <v>1510</v>
      </c>
      <c r="G200" s="3244"/>
    </row>
    <row r="201" spans="1:7" s="3220" customFormat="1" ht="14.25" customHeight="1">
      <c r="A201" s="3231" t="s">
        <v>304</v>
      </c>
      <c r="B201" s="3231" t="s">
        <v>3092</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3093</v>
      </c>
      <c r="C203" s="3231">
        <v>8130</v>
      </c>
      <c r="D203" s="3231">
        <v>8070</v>
      </c>
      <c r="E203" s="3231">
        <v>10820</v>
      </c>
      <c r="F203" s="3231">
        <v>1690</v>
      </c>
      <c r="G203" s="3244">
        <v>5100</v>
      </c>
    </row>
    <row r="204" spans="1:7" s="3220" customFormat="1" ht="14.25" customHeight="1">
      <c r="A204" s="3231" t="s">
        <v>304</v>
      </c>
      <c r="B204" s="3231" t="s">
        <v>2913</v>
      </c>
      <c r="C204" s="3231">
        <v>8350</v>
      </c>
      <c r="D204" s="3231">
        <v>8290</v>
      </c>
      <c r="E204" s="3231">
        <v>11080</v>
      </c>
      <c r="F204" s="3231">
        <v>1450</v>
      </c>
      <c r="G204" s="3244">
        <v>5240</v>
      </c>
    </row>
    <row r="205" spans="1:7" s="3220" customFormat="1" ht="14.25" customHeight="1">
      <c r="A205" s="3231" t="s">
        <v>304</v>
      </c>
      <c r="B205" s="3231" t="s">
        <v>2915</v>
      </c>
      <c r="C205" s="3231">
        <v>7190</v>
      </c>
      <c r="D205" s="3231">
        <v>7130</v>
      </c>
      <c r="E205" s="3231">
        <v>9490</v>
      </c>
      <c r="F205" s="3231">
        <v>1470</v>
      </c>
      <c r="G205" s="3244">
        <v>4510</v>
      </c>
    </row>
    <row r="206" spans="1:7" s="3220" customFormat="1" ht="14.25" customHeight="1">
      <c r="A206" s="3231" t="s">
        <v>304</v>
      </c>
      <c r="B206" s="3231" t="s">
        <v>2918</v>
      </c>
      <c r="C206" s="3231">
        <v>7000</v>
      </c>
      <c r="D206" s="3231">
        <v>6950</v>
      </c>
      <c r="E206" s="3231">
        <v>9170</v>
      </c>
      <c r="F206" s="3231">
        <v>1400</v>
      </c>
      <c r="G206" s="3244">
        <v>4380</v>
      </c>
    </row>
    <row r="207" spans="1:7" s="3220" customFormat="1" ht="14.25" customHeight="1">
      <c r="A207" s="3231" t="s">
        <v>304</v>
      </c>
      <c r="B207" s="3231" t="s">
        <v>2920</v>
      </c>
      <c r="C207" s="3231">
        <v>6950</v>
      </c>
      <c r="D207" s="3231">
        <v>6900</v>
      </c>
      <c r="E207" s="3231">
        <v>9110</v>
      </c>
      <c r="F207" s="3231">
        <v>1790</v>
      </c>
      <c r="G207" s="3244">
        <v>4360</v>
      </c>
    </row>
    <row r="208" spans="1:7" s="3220" customFormat="1" ht="14.25" customHeight="1">
      <c r="A208" s="3231" t="s">
        <v>304</v>
      </c>
      <c r="B208" s="3231" t="s">
        <v>3094</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2930</v>
      </c>
      <c r="C210" s="3231">
        <v>8710</v>
      </c>
      <c r="D210" s="3231">
        <v>8660</v>
      </c>
      <c r="E210" s="3231">
        <v>11440</v>
      </c>
      <c r="F210" s="3231">
        <v>1740</v>
      </c>
      <c r="G210" s="3244">
        <v>5470</v>
      </c>
    </row>
    <row r="211" spans="1:7" s="3220" customFormat="1" ht="14.25" customHeight="1">
      <c r="A211" s="3231" t="s">
        <v>304</v>
      </c>
      <c r="B211" s="3231" t="s">
        <v>3095</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3096</v>
      </c>
      <c r="C214" s="3231">
        <v>8090</v>
      </c>
      <c r="D214" s="3231">
        <v>8030</v>
      </c>
      <c r="E214" s="3231">
        <v>10780</v>
      </c>
      <c r="F214" s="3231">
        <v>1570</v>
      </c>
      <c r="G214" s="3244">
        <v>5070</v>
      </c>
    </row>
    <row r="215" spans="1:7" s="3220" customFormat="1" ht="14.25" customHeight="1">
      <c r="A215" s="3231" t="s">
        <v>304</v>
      </c>
      <c r="B215" s="3231" t="s">
        <v>3097</v>
      </c>
      <c r="C215" s="3231">
        <v>7950</v>
      </c>
      <c r="D215" s="3231">
        <v>7900</v>
      </c>
      <c r="E215" s="3231">
        <v>10560</v>
      </c>
      <c r="F215" s="3231">
        <v>1630</v>
      </c>
      <c r="G215" s="3244">
        <v>4990</v>
      </c>
    </row>
    <row r="216" spans="1:7" s="3220" customFormat="1" ht="14.25" customHeight="1">
      <c r="A216" s="3231" t="s">
        <v>304</v>
      </c>
      <c r="B216" s="3231" t="s">
        <v>3098</v>
      </c>
      <c r="C216" s="3231">
        <v>8490</v>
      </c>
      <c r="D216" s="3231">
        <v>8440</v>
      </c>
      <c r="E216" s="3231">
        <v>11260</v>
      </c>
      <c r="F216" s="3231">
        <v>1690</v>
      </c>
      <c r="G216" s="3244">
        <v>5330</v>
      </c>
    </row>
    <row r="217" spans="1:7" s="3220" customFormat="1" ht="14.25" customHeight="1">
      <c r="A217" s="3231" t="s">
        <v>304</v>
      </c>
      <c r="B217" s="3231" t="s">
        <v>2963</v>
      </c>
      <c r="C217" s="3231">
        <v>8200</v>
      </c>
      <c r="D217" s="3231">
        <v>8150</v>
      </c>
      <c r="E217" s="3231">
        <v>10910</v>
      </c>
      <c r="F217" s="3231">
        <v>1670</v>
      </c>
      <c r="G217" s="3244">
        <v>5150</v>
      </c>
    </row>
    <row r="218" spans="1:7" s="3220" customFormat="1" ht="14.25" customHeight="1">
      <c r="A218" s="3231" t="s">
        <v>304</v>
      </c>
      <c r="B218" s="3231" t="s">
        <v>3099</v>
      </c>
      <c r="C218" s="3231"/>
      <c r="D218" s="3231"/>
      <c r="E218" s="3231"/>
      <c r="F218" s="3231">
        <v>2040</v>
      </c>
      <c r="G218" s="3244"/>
    </row>
    <row r="219" spans="1:7" s="3220" customFormat="1" ht="14.25" customHeight="1">
      <c r="A219" s="3231" t="s">
        <v>304</v>
      </c>
      <c r="B219" s="3231" t="s">
        <v>3100</v>
      </c>
      <c r="C219" s="3231"/>
      <c r="D219" s="3231"/>
      <c r="E219" s="3231"/>
      <c r="F219" s="3231">
        <v>2040</v>
      </c>
      <c r="G219" s="3244"/>
    </row>
    <row r="220" spans="1:7" s="3220" customFormat="1" ht="14.25" customHeight="1">
      <c r="A220" s="3231" t="s">
        <v>304</v>
      </c>
      <c r="B220" s="3231" t="s">
        <v>3101</v>
      </c>
      <c r="C220" s="3231"/>
      <c r="D220" s="3231"/>
      <c r="E220" s="3231"/>
      <c r="F220" s="3231">
        <v>2040</v>
      </c>
      <c r="G220" s="3244"/>
    </row>
    <row r="221" spans="1:7" s="3220" customFormat="1" ht="14.25" customHeight="1">
      <c r="A221" s="3231" t="s">
        <v>304</v>
      </c>
      <c r="B221" s="3231" t="s">
        <v>3102</v>
      </c>
      <c r="C221" s="3231"/>
      <c r="D221" s="3231"/>
      <c r="E221" s="3231"/>
      <c r="F221" s="3231">
        <v>2040</v>
      </c>
      <c r="G221" s="3244"/>
    </row>
    <row r="222" spans="1:7" s="3220" customFormat="1" ht="14.25" customHeight="1">
      <c r="A222" s="3231" t="s">
        <v>304</v>
      </c>
      <c r="B222" s="3231" t="s">
        <v>3103</v>
      </c>
      <c r="C222" s="3231"/>
      <c r="D222" s="3231"/>
      <c r="E222" s="3231"/>
      <c r="F222" s="3231">
        <v>2040</v>
      </c>
      <c r="G222" s="3244"/>
    </row>
    <row r="223" spans="1:7" s="3220" customFormat="1" ht="14.25" customHeight="1">
      <c r="A223" s="3231" t="s">
        <v>304</v>
      </c>
      <c r="B223" s="3231" t="s">
        <v>3104</v>
      </c>
      <c r="C223" s="3231"/>
      <c r="D223" s="3231"/>
      <c r="E223" s="3231"/>
      <c r="F223" s="3231">
        <v>1930</v>
      </c>
      <c r="G223" s="3244"/>
    </row>
    <row r="224" spans="1:7" s="3220" customFormat="1" ht="14.25" customHeight="1">
      <c r="A224" s="3231" t="s">
        <v>304</v>
      </c>
      <c r="B224" s="3231" t="s">
        <v>3105</v>
      </c>
      <c r="C224" s="3231"/>
      <c r="D224" s="3231"/>
      <c r="E224" s="3231"/>
      <c r="F224" s="3231">
        <v>1930</v>
      </c>
      <c r="G224" s="3244"/>
    </row>
    <row r="225" spans="1:7" s="3220" customFormat="1" ht="14.25" customHeight="1">
      <c r="A225" s="3231" t="s">
        <v>304</v>
      </c>
      <c r="B225" s="3231" t="s">
        <v>3106</v>
      </c>
      <c r="C225" s="3231"/>
      <c r="D225" s="3231"/>
      <c r="E225" s="3231"/>
      <c r="F225" s="3231">
        <v>1930</v>
      </c>
      <c r="G225" s="3244"/>
    </row>
    <row r="226" spans="1:7" s="3220" customFormat="1" ht="14.25" customHeight="1">
      <c r="A226" s="3231" t="s">
        <v>304</v>
      </c>
      <c r="B226" s="3231" t="s">
        <v>3107</v>
      </c>
      <c r="C226" s="3231"/>
      <c r="D226" s="3231"/>
      <c r="E226" s="3231"/>
      <c r="F226" s="3231">
        <v>1700</v>
      </c>
      <c r="G226" s="3244"/>
    </row>
    <row r="227" spans="1:7" s="3220" customFormat="1" ht="14.25" customHeight="1">
      <c r="A227" s="3231" t="s">
        <v>304</v>
      </c>
      <c r="B227" s="3231" t="s">
        <v>3108</v>
      </c>
      <c r="C227" s="3231"/>
      <c r="D227" s="3231"/>
      <c r="E227" s="3231"/>
      <c r="F227" s="3231">
        <v>1520</v>
      </c>
      <c r="G227" s="3244"/>
    </row>
    <row r="228" spans="1:7" s="3220" customFormat="1" ht="14.25" customHeight="1">
      <c r="A228" s="3231" t="s">
        <v>304</v>
      </c>
      <c r="B228" s="3231" t="s">
        <v>3109</v>
      </c>
      <c r="C228" s="3231"/>
      <c r="D228" s="3231"/>
      <c r="E228" s="3231"/>
      <c r="F228" s="3231">
        <v>1520</v>
      </c>
      <c r="G228" s="3244"/>
    </row>
    <row r="229" spans="1:7" s="3220" customFormat="1" ht="14.25" customHeight="1">
      <c r="A229" s="3231" t="s">
        <v>304</v>
      </c>
      <c r="B229" s="3231" t="s">
        <v>3026</v>
      </c>
      <c r="C229" s="3231"/>
      <c r="D229" s="3231"/>
      <c r="E229" s="3231"/>
      <c r="F229" s="3231">
        <v>1520</v>
      </c>
      <c r="G229" s="3244"/>
    </row>
    <row r="230" spans="1:7" s="3220" customFormat="1" ht="14.25" customHeight="1">
      <c r="A230" s="3231" t="s">
        <v>304</v>
      </c>
      <c r="B230" s="3231" t="s">
        <v>3110</v>
      </c>
      <c r="C230" s="3231"/>
      <c r="D230" s="3231"/>
      <c r="E230" s="3231"/>
      <c r="F230" s="3231">
        <v>1820</v>
      </c>
      <c r="G230" s="3244"/>
    </row>
    <row r="231" spans="1:7" s="3220" customFormat="1" ht="14.25" customHeight="1">
      <c r="A231" s="3231" t="s">
        <v>304</v>
      </c>
      <c r="B231" s="3231" t="s">
        <v>3111</v>
      </c>
      <c r="C231" s="3231"/>
      <c r="D231" s="3231"/>
      <c r="E231" s="3231"/>
      <c r="F231" s="3231">
        <v>1760</v>
      </c>
      <c r="G231" s="3244"/>
    </row>
    <row r="232" spans="1:7" s="3220" customFormat="1" ht="14.25" customHeight="1">
      <c r="A232" s="3231" t="s">
        <v>304</v>
      </c>
      <c r="B232" s="3231" t="s">
        <v>3112</v>
      </c>
      <c r="C232" s="3231"/>
      <c r="D232" s="3231"/>
      <c r="E232" s="3231"/>
      <c r="F232" s="3231">
        <v>1840</v>
      </c>
      <c r="G232" s="3244"/>
    </row>
    <row r="233" spans="1:7" s="3220" customFormat="1" ht="14.25" customHeight="1" thickBot="1">
      <c r="A233" s="3245" t="s">
        <v>304</v>
      </c>
      <c r="B233" s="3238" t="s">
        <v>3043</v>
      </c>
      <c r="C233" s="3238"/>
      <c r="D233" s="3238"/>
      <c r="E233" s="3238"/>
      <c r="F233" s="3238">
        <v>1770</v>
      </c>
      <c r="G233" s="3246"/>
    </row>
    <row r="234" spans="1:7" s="3220" customFormat="1" ht="14.25" customHeight="1">
      <c r="A234" s="3236" t="s">
        <v>305</v>
      </c>
      <c r="B234" s="3227" t="s">
        <v>3113</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2884</v>
      </c>
      <c r="C238" s="3231">
        <v>6920</v>
      </c>
      <c r="D238" s="3231">
        <v>6890</v>
      </c>
      <c r="E238" s="3231">
        <v>8640</v>
      </c>
      <c r="F238" s="3231">
        <v>1310</v>
      </c>
      <c r="G238" s="3231">
        <v>4230</v>
      </c>
    </row>
    <row r="239" spans="1:7" s="3220" customFormat="1" ht="14.25" customHeight="1">
      <c r="A239" s="3231" t="s">
        <v>305</v>
      </c>
      <c r="B239" s="3231" t="s">
        <v>3114</v>
      </c>
      <c r="C239" s="3231">
        <v>6780</v>
      </c>
      <c r="D239" s="3231">
        <v>6750</v>
      </c>
      <c r="E239" s="3231">
        <v>8440</v>
      </c>
      <c r="F239" s="3231">
        <v>1160</v>
      </c>
      <c r="G239" s="3231">
        <v>4140</v>
      </c>
    </row>
    <row r="240" spans="1:7" s="3220" customFormat="1" ht="14.25" customHeight="1">
      <c r="A240" s="3231" t="s">
        <v>305</v>
      </c>
      <c r="B240" s="3231" t="s">
        <v>3115</v>
      </c>
      <c r="C240" s="3231">
        <v>5420</v>
      </c>
      <c r="D240" s="3231">
        <v>5380</v>
      </c>
      <c r="E240" s="3231">
        <v>6640</v>
      </c>
      <c r="F240" s="3231">
        <v>1020</v>
      </c>
      <c r="G240" s="3231">
        <v>3300</v>
      </c>
    </row>
    <row r="241" spans="1:7" s="3220" customFormat="1" ht="14.25" customHeight="1">
      <c r="A241" s="3231" t="s">
        <v>305</v>
      </c>
      <c r="B241" s="3231" t="s">
        <v>3116</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3117</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3118</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3119</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3120</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3121</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2946</v>
      </c>
      <c r="C258" s="3231">
        <v>6190</v>
      </c>
      <c r="D258" s="3231">
        <v>6160</v>
      </c>
      <c r="E258" s="3231">
        <v>7680</v>
      </c>
      <c r="F258" s="3231">
        <v>1170</v>
      </c>
      <c r="G258" s="3231">
        <v>3780</v>
      </c>
    </row>
    <row r="259" spans="1:7" s="3220" customFormat="1" ht="14.25" customHeight="1">
      <c r="A259" s="3231" t="s">
        <v>305</v>
      </c>
      <c r="B259" s="3231" t="s">
        <v>3122</v>
      </c>
      <c r="C259" s="3231">
        <v>7610</v>
      </c>
      <c r="D259" s="3231">
        <v>7570</v>
      </c>
      <c r="E259" s="3231">
        <v>9350</v>
      </c>
      <c r="F259" s="3231">
        <v>1350</v>
      </c>
      <c r="G259" s="3231">
        <v>4650</v>
      </c>
    </row>
    <row r="260" spans="1:7" s="3220" customFormat="1" ht="14.25" customHeight="1">
      <c r="A260" s="3231" t="s">
        <v>305</v>
      </c>
      <c r="B260" s="3231" t="s">
        <v>3123</v>
      </c>
      <c r="C260" s="3231">
        <v>6920</v>
      </c>
      <c r="D260" s="3231">
        <v>6880</v>
      </c>
      <c r="E260" s="3231">
        <v>8380</v>
      </c>
      <c r="F260" s="3231">
        <v>1160</v>
      </c>
      <c r="G260" s="3231">
        <v>4220</v>
      </c>
    </row>
    <row r="261" spans="1:7" s="3220" customFormat="1" ht="14.25" customHeight="1">
      <c r="A261" s="3231" t="s">
        <v>305</v>
      </c>
      <c r="B261" s="3231" t="s">
        <v>3124</v>
      </c>
      <c r="C261" s="3231">
        <v>6850</v>
      </c>
      <c r="D261" s="3231">
        <v>6810</v>
      </c>
      <c r="E261" s="3231">
        <v>8290</v>
      </c>
      <c r="F261" s="3231">
        <v>1130</v>
      </c>
      <c r="G261" s="3231">
        <v>4180</v>
      </c>
    </row>
    <row r="262" spans="1:7" s="3220" customFormat="1" ht="14.25" customHeight="1">
      <c r="A262" s="3231" t="s">
        <v>305</v>
      </c>
      <c r="B262" s="3231" t="s">
        <v>3125</v>
      </c>
      <c r="C262" s="3231">
        <v>5860</v>
      </c>
      <c r="D262" s="3231">
        <v>5820</v>
      </c>
      <c r="E262" s="3231">
        <v>7640</v>
      </c>
      <c r="F262" s="3231">
        <v>1070</v>
      </c>
      <c r="G262" s="3231">
        <v>3570</v>
      </c>
    </row>
    <row r="263" spans="1:7" s="3220" customFormat="1" ht="14.25" customHeight="1">
      <c r="A263" s="3231" t="s">
        <v>305</v>
      </c>
      <c r="B263" s="3231" t="s">
        <v>3126</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3127</v>
      </c>
      <c r="C265" s="3231"/>
      <c r="D265" s="3231"/>
      <c r="E265" s="3231"/>
      <c r="F265" s="3231">
        <v>1500</v>
      </c>
      <c r="G265" s="3231"/>
    </row>
    <row r="266" spans="1:7" s="3220" customFormat="1" ht="14.25" customHeight="1">
      <c r="A266" s="3231" t="s">
        <v>305</v>
      </c>
      <c r="B266" s="3231" t="s">
        <v>3128</v>
      </c>
      <c r="C266" s="3231"/>
      <c r="D266" s="3231"/>
      <c r="E266" s="3231"/>
      <c r="F266" s="3231">
        <v>1500</v>
      </c>
      <c r="G266" s="3231"/>
    </row>
    <row r="267" spans="1:7" s="3220" customFormat="1" ht="14.25" customHeight="1">
      <c r="A267" s="3231" t="s">
        <v>305</v>
      </c>
      <c r="B267" s="3231" t="s">
        <v>3129</v>
      </c>
      <c r="C267" s="3231"/>
      <c r="D267" s="3231"/>
      <c r="E267" s="3231"/>
      <c r="F267" s="3231">
        <v>1500</v>
      </c>
      <c r="G267" s="3231"/>
    </row>
    <row r="268" spans="1:7" s="3220" customFormat="1" ht="14.25" customHeight="1">
      <c r="A268" s="3231" t="s">
        <v>305</v>
      </c>
      <c r="B268" s="3231" t="s">
        <v>3130</v>
      </c>
      <c r="C268" s="3231"/>
      <c r="D268" s="3231"/>
      <c r="E268" s="3231"/>
      <c r="F268" s="3231">
        <v>1290</v>
      </c>
      <c r="G268" s="3231"/>
    </row>
    <row r="269" spans="1:7" s="3220" customFormat="1" ht="14.25" customHeight="1">
      <c r="A269" s="3231" t="s">
        <v>305</v>
      </c>
      <c r="B269" s="3231" t="s">
        <v>3131</v>
      </c>
      <c r="C269" s="3231"/>
      <c r="D269" s="3231"/>
      <c r="E269" s="3231"/>
      <c r="F269" s="3231">
        <v>1150</v>
      </c>
      <c r="G269" s="3231"/>
    </row>
    <row r="270" spans="1:7" s="3220" customFormat="1" ht="14.25" customHeight="1">
      <c r="A270" s="3231" t="s">
        <v>305</v>
      </c>
      <c r="B270" s="3231" t="s">
        <v>3132</v>
      </c>
      <c r="C270" s="3231"/>
      <c r="D270" s="3231"/>
      <c r="E270" s="3231"/>
      <c r="F270" s="3231">
        <v>1380</v>
      </c>
      <c r="G270" s="3231"/>
    </row>
    <row r="271" spans="1:7" s="3220" customFormat="1" ht="14.25" customHeight="1">
      <c r="A271" s="3231" t="s">
        <v>305</v>
      </c>
      <c r="B271" s="3231" t="s">
        <v>3133</v>
      </c>
      <c r="C271" s="3231"/>
      <c r="D271" s="3231"/>
      <c r="E271" s="3231"/>
      <c r="F271" s="3231">
        <v>1460</v>
      </c>
      <c r="G271" s="3231"/>
    </row>
    <row r="272" spans="1:7" s="3220" customFormat="1" ht="14.25" customHeight="1">
      <c r="A272" s="3231" t="s">
        <v>305</v>
      </c>
      <c r="B272" s="3231" t="s">
        <v>3134</v>
      </c>
      <c r="C272" s="3231"/>
      <c r="D272" s="3231"/>
      <c r="E272" s="3231"/>
      <c r="F272" s="3231">
        <v>1460</v>
      </c>
      <c r="G272" s="3231"/>
    </row>
    <row r="273" spans="1:7" s="3220" customFormat="1" ht="14.25" customHeight="1">
      <c r="A273" s="3231" t="s">
        <v>305</v>
      </c>
      <c r="B273" s="3231" t="s">
        <v>3027</v>
      </c>
      <c r="C273" s="3231"/>
      <c r="D273" s="3231"/>
      <c r="E273" s="3231"/>
      <c r="F273" s="3231">
        <v>1490</v>
      </c>
      <c r="G273" s="3231"/>
    </row>
    <row r="274" spans="1:7" s="3220" customFormat="1" ht="14.25" customHeight="1">
      <c r="A274" s="3231" t="s">
        <v>305</v>
      </c>
      <c r="B274" s="3231" t="s">
        <v>3135</v>
      </c>
      <c r="C274" s="3231"/>
      <c r="D274" s="3231"/>
      <c r="E274" s="3231"/>
      <c r="F274" s="3231">
        <v>1490</v>
      </c>
      <c r="G274" s="3231"/>
    </row>
    <row r="275" spans="1:7" s="3220" customFormat="1" ht="14.25" customHeight="1">
      <c r="A275" s="3231" t="s">
        <v>305</v>
      </c>
      <c r="B275" s="3231" t="s">
        <v>3136</v>
      </c>
      <c r="C275" s="3231"/>
      <c r="D275" s="3231"/>
      <c r="E275" s="3231"/>
      <c r="F275" s="3231">
        <v>1220</v>
      </c>
      <c r="G275" s="3231"/>
    </row>
    <row r="276" spans="1:7" s="3220" customFormat="1" ht="14.25" customHeight="1" thickBot="1">
      <c r="A276" s="3239" t="s">
        <v>305</v>
      </c>
      <c r="B276" s="3241" t="s">
        <v>3137</v>
      </c>
      <c r="C276" s="3242"/>
      <c r="D276" s="3242"/>
      <c r="E276" s="3242"/>
      <c r="F276" s="3242">
        <v>1380</v>
      </c>
      <c r="G276" s="3242"/>
    </row>
    <row r="277" spans="1:7" s="3220" customFormat="1" ht="14.25" customHeight="1">
      <c r="A277" s="3236" t="s">
        <v>306</v>
      </c>
      <c r="B277" s="3227" t="s">
        <v>3138</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3139</v>
      </c>
      <c r="C279" s="3231">
        <v>4760</v>
      </c>
      <c r="D279" s="3231">
        <v>4720</v>
      </c>
      <c r="E279" s="3231">
        <v>5540</v>
      </c>
      <c r="F279" s="3231">
        <v>810</v>
      </c>
      <c r="G279" s="3244">
        <v>2850</v>
      </c>
    </row>
    <row r="280" spans="1:7" s="3220" customFormat="1" ht="14.25" customHeight="1">
      <c r="A280" s="3231" t="s">
        <v>306</v>
      </c>
      <c r="B280" s="3231" t="s">
        <v>3140</v>
      </c>
      <c r="C280" s="3231">
        <v>4010</v>
      </c>
      <c r="D280" s="3231">
        <v>3950</v>
      </c>
      <c r="E280" s="3231">
        <v>4710</v>
      </c>
      <c r="F280" s="3231">
        <v>800</v>
      </c>
      <c r="G280" s="3244">
        <v>2390</v>
      </c>
    </row>
    <row r="281" spans="1:7" s="3220" customFormat="1" ht="14.25" customHeight="1">
      <c r="A281" s="3231" t="s">
        <v>306</v>
      </c>
      <c r="B281" s="3231" t="s">
        <v>3141</v>
      </c>
      <c r="C281" s="3231">
        <v>4480</v>
      </c>
      <c r="D281" s="3231">
        <v>4420</v>
      </c>
      <c r="E281" s="3231">
        <v>5230</v>
      </c>
      <c r="F281" s="3231">
        <v>870</v>
      </c>
      <c r="G281" s="3244">
        <v>2660</v>
      </c>
    </row>
    <row r="282" spans="1:7" s="3220" customFormat="1" ht="14.25" customHeight="1">
      <c r="A282" s="3231" t="s">
        <v>306</v>
      </c>
      <c r="B282" s="3231" t="s">
        <v>3142</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3143</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3144</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2919</v>
      </c>
      <c r="C293" s="3231">
        <v>5320</v>
      </c>
      <c r="D293" s="3231">
        <v>5270</v>
      </c>
      <c r="E293" s="3231">
        <v>6160</v>
      </c>
      <c r="F293" s="3231">
        <v>990</v>
      </c>
      <c r="G293" s="3244">
        <v>3170</v>
      </c>
    </row>
    <row r="294" spans="1:7" s="3220" customFormat="1" ht="14.25" customHeight="1">
      <c r="A294" s="3231" t="s">
        <v>306</v>
      </c>
      <c r="B294" s="3231" t="s">
        <v>3145</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2938</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3146</v>
      </c>
      <c r="C302" s="3231">
        <v>5520</v>
      </c>
      <c r="D302" s="3231">
        <v>5470</v>
      </c>
      <c r="E302" s="3231">
        <v>6410</v>
      </c>
      <c r="F302" s="3231">
        <v>950</v>
      </c>
      <c r="G302" s="3244">
        <v>3300</v>
      </c>
    </row>
    <row r="303" spans="1:7" s="3220" customFormat="1" ht="14.25" customHeight="1">
      <c r="A303" s="3231" t="s">
        <v>306</v>
      </c>
      <c r="B303" s="3231" t="s">
        <v>2958</v>
      </c>
      <c r="C303" s="3231">
        <v>5630</v>
      </c>
      <c r="D303" s="3231">
        <v>5590</v>
      </c>
      <c r="E303" s="3231">
        <v>6550</v>
      </c>
      <c r="F303" s="3231">
        <v>1010</v>
      </c>
      <c r="G303" s="3244">
        <v>3370</v>
      </c>
    </row>
    <row r="304" spans="1:7" s="3220" customFormat="1" ht="14.25" customHeight="1">
      <c r="A304" s="3231" t="s">
        <v>306</v>
      </c>
      <c r="B304" s="3231" t="s">
        <v>2965</v>
      </c>
      <c r="C304" s="3231">
        <v>5680</v>
      </c>
      <c r="D304" s="3231">
        <v>5620</v>
      </c>
      <c r="E304" s="3231">
        <v>6620</v>
      </c>
      <c r="F304" s="3231">
        <v>1050</v>
      </c>
      <c r="G304" s="3244">
        <v>3390</v>
      </c>
    </row>
    <row r="305" spans="1:7" s="3220" customFormat="1" ht="14.25" customHeight="1">
      <c r="A305" s="3231" t="s">
        <v>306</v>
      </c>
      <c r="B305" s="3231" t="s">
        <v>2971</v>
      </c>
      <c r="C305" s="3231">
        <v>5590</v>
      </c>
      <c r="D305" s="3231">
        <v>5530</v>
      </c>
      <c r="E305" s="3231">
        <v>6460</v>
      </c>
      <c r="F305" s="3231">
        <v>900</v>
      </c>
      <c r="G305" s="3244">
        <v>3340</v>
      </c>
    </row>
    <row r="306" spans="1:7" s="3220" customFormat="1" ht="14.25" customHeight="1">
      <c r="A306" s="3231" t="s">
        <v>306</v>
      </c>
      <c r="B306" s="3231" t="s">
        <v>3147</v>
      </c>
      <c r="C306" s="3231">
        <v>5560</v>
      </c>
      <c r="D306" s="3231">
        <v>5510</v>
      </c>
      <c r="E306" s="3231">
        <v>6440</v>
      </c>
      <c r="F306" s="3231">
        <v>900</v>
      </c>
      <c r="G306" s="3244">
        <v>3320</v>
      </c>
    </row>
    <row r="307" spans="1:7" s="3220" customFormat="1" ht="14.25" customHeight="1">
      <c r="A307" s="3231" t="s">
        <v>306</v>
      </c>
      <c r="B307" s="3231" t="s">
        <v>2983</v>
      </c>
      <c r="C307" s="3231">
        <v>5650</v>
      </c>
      <c r="D307" s="3231">
        <v>5600</v>
      </c>
      <c r="E307" s="3231">
        <v>6590</v>
      </c>
      <c r="F307" s="3231">
        <v>930</v>
      </c>
      <c r="G307" s="3244">
        <v>3380</v>
      </c>
    </row>
    <row r="308" spans="1:7" s="3220" customFormat="1" ht="14.25" customHeight="1">
      <c r="A308" s="3231" t="s">
        <v>306</v>
      </c>
      <c r="B308" s="3231" t="s">
        <v>3148</v>
      </c>
      <c r="C308" s="3231">
        <v>5620</v>
      </c>
      <c r="D308" s="3231">
        <v>5580</v>
      </c>
      <c r="E308" s="3231">
        <v>6540</v>
      </c>
      <c r="F308" s="3231">
        <v>910</v>
      </c>
      <c r="G308" s="3244">
        <v>3370</v>
      </c>
    </row>
    <row r="309" spans="1:7" s="3220" customFormat="1" ht="14.25" customHeight="1">
      <c r="A309" s="3231" t="s">
        <v>306</v>
      </c>
      <c r="B309" s="3231" t="s">
        <v>3149</v>
      </c>
      <c r="C309" s="3231">
        <v>5060</v>
      </c>
      <c r="D309" s="3231">
        <v>5020</v>
      </c>
      <c r="E309" s="3231">
        <v>6370</v>
      </c>
      <c r="F309" s="3231">
        <v>800</v>
      </c>
      <c r="G309" s="3244">
        <v>3020</v>
      </c>
    </row>
    <row r="310" spans="1:7" s="3220" customFormat="1" ht="14.25" customHeight="1">
      <c r="A310" s="3231" t="s">
        <v>306</v>
      </c>
      <c r="B310" s="3231" t="s">
        <v>2998</v>
      </c>
      <c r="C310" s="3231">
        <v>5150</v>
      </c>
      <c r="D310" s="3231">
        <v>5110</v>
      </c>
      <c r="E310" s="3231">
        <v>6500</v>
      </c>
      <c r="F310" s="3231">
        <v>880</v>
      </c>
      <c r="G310" s="3244">
        <v>3080</v>
      </c>
    </row>
    <row r="311" spans="1:7" s="3220" customFormat="1" ht="14.25" customHeight="1">
      <c r="A311" s="3231" t="s">
        <v>306</v>
      </c>
      <c r="B311" s="3231" t="s">
        <v>3150</v>
      </c>
      <c r="C311" s="3231">
        <v>4750</v>
      </c>
      <c r="D311" s="3231">
        <v>4710</v>
      </c>
      <c r="E311" s="3231">
        <v>5510</v>
      </c>
      <c r="F311" s="3231">
        <v>880</v>
      </c>
      <c r="G311" s="3244">
        <v>2840</v>
      </c>
    </row>
    <row r="312" spans="1:7" s="3220" customFormat="1" ht="14.25" customHeight="1">
      <c r="A312" s="3231" t="s">
        <v>306</v>
      </c>
      <c r="B312" s="3231" t="s">
        <v>3008</v>
      </c>
      <c r="C312" s="3231">
        <v>4690</v>
      </c>
      <c r="D312" s="3231">
        <v>4640</v>
      </c>
      <c r="E312" s="3231">
        <v>5420</v>
      </c>
      <c r="F312" s="3231">
        <v>800</v>
      </c>
      <c r="G312" s="3244">
        <v>2800</v>
      </c>
    </row>
    <row r="313" spans="1:7" s="3220" customFormat="1" ht="14.25" customHeight="1">
      <c r="A313" s="3231" t="s">
        <v>306</v>
      </c>
      <c r="B313" s="3231" t="s">
        <v>3013</v>
      </c>
      <c r="C313" s="3231">
        <v>4810</v>
      </c>
      <c r="D313" s="3231">
        <v>4760</v>
      </c>
      <c r="E313" s="3231">
        <v>5550</v>
      </c>
      <c r="F313" s="3231">
        <v>920</v>
      </c>
      <c r="G313" s="3244">
        <v>2870</v>
      </c>
    </row>
    <row r="314" spans="1:7" s="3220" customFormat="1" ht="14.25" customHeight="1">
      <c r="A314" s="3231" t="s">
        <v>306</v>
      </c>
      <c r="B314" s="3231" t="s">
        <v>3151</v>
      </c>
      <c r="C314" s="3231"/>
      <c r="D314" s="3231"/>
      <c r="E314" s="3231"/>
      <c r="F314" s="3231">
        <v>1020</v>
      </c>
      <c r="G314" s="3244"/>
    </row>
    <row r="315" spans="1:7" s="3220" customFormat="1" ht="14.25" customHeight="1">
      <c r="A315" s="3231" t="s">
        <v>306</v>
      </c>
      <c r="B315" s="3231" t="s">
        <v>3152</v>
      </c>
      <c r="C315" s="3231"/>
      <c r="D315" s="3231"/>
      <c r="E315" s="3231"/>
      <c r="F315" s="3231">
        <v>1050</v>
      </c>
      <c r="G315" s="3244"/>
    </row>
    <row r="316" spans="1:7" s="3220" customFormat="1" ht="14.25" customHeight="1">
      <c r="A316" s="3231" t="s">
        <v>306</v>
      </c>
      <c r="B316" s="3231" t="s">
        <v>3028</v>
      </c>
      <c r="C316" s="3231"/>
      <c r="D316" s="3231"/>
      <c r="E316" s="3231"/>
      <c r="F316" s="3231">
        <v>900</v>
      </c>
      <c r="G316" s="3244"/>
    </row>
    <row r="317" spans="1:7" s="3220" customFormat="1" ht="14.25" customHeight="1">
      <c r="A317" s="3231" t="s">
        <v>306</v>
      </c>
      <c r="B317" s="3231" t="s">
        <v>3153</v>
      </c>
      <c r="C317" s="3231"/>
      <c r="D317" s="3231"/>
      <c r="E317" s="3231"/>
      <c r="F317" s="3231">
        <v>920</v>
      </c>
      <c r="G317" s="3244"/>
    </row>
    <row r="318" spans="1:7" s="3220" customFormat="1" ht="14.25" customHeight="1">
      <c r="A318" s="3231" t="s">
        <v>306</v>
      </c>
      <c r="B318" s="3231" t="s">
        <v>3154</v>
      </c>
      <c r="C318" s="3231"/>
      <c r="D318" s="3231"/>
      <c r="E318" s="3231"/>
      <c r="F318" s="3231">
        <v>1080</v>
      </c>
      <c r="G318" s="3244"/>
    </row>
    <row r="319" spans="1:7" s="3220" customFormat="1" ht="14.25" customHeight="1">
      <c r="A319" s="3231" t="s">
        <v>306</v>
      </c>
      <c r="B319" s="3231" t="s">
        <v>3041</v>
      </c>
      <c r="C319" s="3231"/>
      <c r="D319" s="3231"/>
      <c r="E319" s="3231"/>
      <c r="F319" s="3231">
        <v>1020</v>
      </c>
      <c r="G319" s="3244"/>
    </row>
    <row r="320" spans="1:7" s="3220" customFormat="1" ht="14.25" customHeight="1">
      <c r="A320" s="3231" t="s">
        <v>306</v>
      </c>
      <c r="B320" s="3231" t="s">
        <v>3044</v>
      </c>
      <c r="C320" s="3231"/>
      <c r="D320" s="3231"/>
      <c r="E320" s="3231"/>
      <c r="F320" s="3231">
        <v>1050</v>
      </c>
      <c r="G320" s="3244"/>
    </row>
    <row r="321" spans="1:7" s="3220" customFormat="1" ht="14.25" customHeight="1">
      <c r="A321" s="3231" t="s">
        <v>306</v>
      </c>
      <c r="B321" s="3231" t="s">
        <v>3046</v>
      </c>
      <c r="C321" s="3231"/>
      <c r="D321" s="3231"/>
      <c r="E321" s="3231"/>
      <c r="F321" s="3231">
        <v>960</v>
      </c>
      <c r="G321" s="3244"/>
    </row>
    <row r="322" spans="1:7" s="3220" customFormat="1" ht="14.25" customHeight="1">
      <c r="A322" s="3231" t="s">
        <v>306</v>
      </c>
      <c r="B322" s="3231" t="s">
        <v>3048</v>
      </c>
      <c r="C322" s="3231"/>
      <c r="D322" s="3231"/>
      <c r="E322" s="3231"/>
      <c r="F322" s="3231">
        <v>960</v>
      </c>
      <c r="G322" s="3244"/>
    </row>
    <row r="323" spans="1:7" s="3220" customFormat="1" ht="14.25" customHeight="1">
      <c r="A323" s="3231" t="s">
        <v>306</v>
      </c>
      <c r="B323" s="3231" t="s">
        <v>3050</v>
      </c>
      <c r="C323" s="3231"/>
      <c r="D323" s="3231"/>
      <c r="E323" s="3231"/>
      <c r="F323" s="3231">
        <v>880</v>
      </c>
      <c r="G323" s="3244"/>
    </row>
    <row r="324" spans="1:7" s="3220" customFormat="1" ht="14.25" customHeight="1">
      <c r="A324" s="3231" t="s">
        <v>306</v>
      </c>
      <c r="B324" s="3231" t="s">
        <v>3052</v>
      </c>
      <c r="C324" s="3231"/>
      <c r="D324" s="3231"/>
      <c r="E324" s="3231"/>
      <c r="F324" s="3231">
        <v>930</v>
      </c>
      <c r="G324" s="3244"/>
    </row>
    <row r="325" spans="1:7" s="3220" customFormat="1" ht="14.25" customHeight="1">
      <c r="A325" s="3231" t="s">
        <v>306</v>
      </c>
      <c r="B325" s="3232" t="s">
        <v>3054</v>
      </c>
      <c r="C325" s="3231"/>
      <c r="D325" s="3231"/>
      <c r="E325" s="3231"/>
      <c r="F325" s="3231">
        <v>900</v>
      </c>
      <c r="G325" s="3244"/>
    </row>
    <row r="326" spans="1:7" s="3220" customFormat="1" ht="14.25" customHeight="1" thickBot="1">
      <c r="A326" s="3245" t="s">
        <v>306</v>
      </c>
      <c r="B326" s="3238" t="s">
        <v>3056</v>
      </c>
      <c r="C326" s="3238"/>
      <c r="D326" s="3238"/>
      <c r="E326" s="3238"/>
      <c r="F326" s="3238">
        <v>790</v>
      </c>
      <c r="G326" s="3246"/>
    </row>
    <row r="327" spans="1:7" s="3220" customFormat="1" ht="14.25" customHeight="1">
      <c r="A327" s="3236" t="s">
        <v>307</v>
      </c>
      <c r="B327" s="3227" t="s">
        <v>3155</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3156</v>
      </c>
      <c r="C329" s="3231">
        <v>2730</v>
      </c>
      <c r="D329" s="3231">
        <v>2690</v>
      </c>
      <c r="E329" s="3231">
        <v>3100</v>
      </c>
      <c r="F329" s="3231">
        <v>660</v>
      </c>
      <c r="G329" s="3231">
        <v>1610</v>
      </c>
    </row>
    <row r="330" spans="1:7" s="3220" customFormat="1" ht="14.25" customHeight="1">
      <c r="A330" s="3231" t="s">
        <v>307</v>
      </c>
      <c r="B330" s="3231" t="s">
        <v>3157</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2890</v>
      </c>
      <c r="C332" s="3231">
        <v>3520</v>
      </c>
      <c r="D332" s="3231">
        <v>3480</v>
      </c>
      <c r="E332" s="3231">
        <v>3830</v>
      </c>
      <c r="F332" s="3231">
        <v>720</v>
      </c>
      <c r="G332" s="3231">
        <v>2090</v>
      </c>
    </row>
    <row r="333" spans="1:7" s="3220" customFormat="1" ht="14.25" customHeight="1">
      <c r="A333" s="3231" t="s">
        <v>307</v>
      </c>
      <c r="B333" s="3231" t="s">
        <v>3158</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2900</v>
      </c>
      <c r="C336" s="3231">
        <v>3570</v>
      </c>
      <c r="D336" s="3231">
        <v>3530</v>
      </c>
      <c r="E336" s="3231">
        <v>3880</v>
      </c>
      <c r="F336" s="3231">
        <v>770</v>
      </c>
      <c r="G336" s="3231">
        <v>2110</v>
      </c>
    </row>
    <row r="337" spans="1:10" s="3220" customFormat="1" ht="14.25" customHeight="1">
      <c r="A337" s="3231" t="s">
        <v>307</v>
      </c>
      <c r="B337" s="3231" t="s">
        <v>3159</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3160</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3161</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2925</v>
      </c>
      <c r="C345" s="3231">
        <v>3190</v>
      </c>
      <c r="D345" s="3231">
        <v>3140</v>
      </c>
      <c r="E345" s="3231">
        <v>3450</v>
      </c>
      <c r="F345" s="3231">
        <v>720</v>
      </c>
      <c r="G345" s="3231">
        <v>1880</v>
      </c>
      <c r="J345" s="3220"/>
    </row>
    <row r="346" spans="1:10">
      <c r="A346" s="3231" t="s">
        <v>307</v>
      </c>
      <c r="B346" s="3231" t="s">
        <v>3162</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2934</v>
      </c>
      <c r="C348" s="3231">
        <v>4000</v>
      </c>
      <c r="D348" s="3231">
        <v>3950</v>
      </c>
      <c r="E348" s="3231">
        <v>4430</v>
      </c>
      <c r="F348" s="3231">
        <v>760</v>
      </c>
      <c r="G348" s="3231">
        <v>2360</v>
      </c>
      <c r="J348" s="3220"/>
    </row>
    <row r="349" spans="1:10">
      <c r="A349" s="3231" t="s">
        <v>307</v>
      </c>
      <c r="B349" s="3231" t="s">
        <v>2939</v>
      </c>
      <c r="C349" s="3231">
        <v>3820</v>
      </c>
      <c r="D349" s="3231">
        <v>3780</v>
      </c>
      <c r="E349" s="3231">
        <v>4170</v>
      </c>
      <c r="F349" s="3231">
        <v>710</v>
      </c>
      <c r="G349" s="3231">
        <v>2260</v>
      </c>
      <c r="J349" s="3220"/>
    </row>
    <row r="350" spans="1:10">
      <c r="A350" s="3231" t="s">
        <v>307</v>
      </c>
      <c r="B350" s="3231" t="s">
        <v>3163</v>
      </c>
      <c r="C350" s="3231">
        <v>3760</v>
      </c>
      <c r="D350" s="3231">
        <v>3730</v>
      </c>
      <c r="E350" s="3231">
        <v>4100</v>
      </c>
      <c r="F350" s="3231">
        <v>800</v>
      </c>
      <c r="G350" s="3231">
        <v>2230</v>
      </c>
      <c r="J350" s="3220"/>
    </row>
    <row r="351" spans="1:10">
      <c r="A351" s="3231" t="s">
        <v>307</v>
      </c>
      <c r="B351" s="3231" t="s">
        <v>2947</v>
      </c>
      <c r="C351" s="3231">
        <v>3610</v>
      </c>
      <c r="D351" s="3231">
        <v>3580</v>
      </c>
      <c r="E351" s="3231">
        <v>3930</v>
      </c>
      <c r="F351" s="3231">
        <v>700</v>
      </c>
      <c r="G351" s="3231">
        <v>2140</v>
      </c>
      <c r="J351" s="3220"/>
    </row>
    <row r="352" spans="1:10">
      <c r="A352" s="3231" t="s">
        <v>307</v>
      </c>
      <c r="B352" s="3231" t="s">
        <v>2952</v>
      </c>
      <c r="C352" s="3231">
        <v>3670</v>
      </c>
      <c r="D352" s="3231">
        <v>3630</v>
      </c>
      <c r="E352" s="3231">
        <v>4000</v>
      </c>
      <c r="F352" s="3231">
        <v>750</v>
      </c>
      <c r="G352" s="3231">
        <v>2180</v>
      </c>
    </row>
    <row r="353" spans="1:7" s="3224" customFormat="1">
      <c r="A353" s="3231" t="s">
        <v>307</v>
      </c>
      <c r="B353" s="3231" t="s">
        <v>3164</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2972</v>
      </c>
      <c r="C355" s="3231">
        <v>3650</v>
      </c>
      <c r="D355" s="3231">
        <v>3610</v>
      </c>
      <c r="E355" s="3231">
        <v>4200</v>
      </c>
      <c r="F355" s="3231">
        <v>640</v>
      </c>
      <c r="G355" s="3231">
        <v>2160</v>
      </c>
    </row>
    <row r="356" spans="1:7" s="3224" customFormat="1">
      <c r="A356" s="3231" t="s">
        <v>307</v>
      </c>
      <c r="B356" s="3231" t="s">
        <v>2979</v>
      </c>
      <c r="C356" s="3231">
        <v>3260</v>
      </c>
      <c r="D356" s="3231">
        <v>3230</v>
      </c>
      <c r="E356" s="3231">
        <v>3740</v>
      </c>
      <c r="F356" s="3231">
        <v>600</v>
      </c>
      <c r="G356" s="3231">
        <v>1930</v>
      </c>
    </row>
    <row r="357" spans="1:7" s="3224" customFormat="1" ht="12" thickBot="1">
      <c r="A357" s="3239" t="s">
        <v>307</v>
      </c>
      <c r="B357" s="3242" t="s">
        <v>3165</v>
      </c>
      <c r="C357" s="3242">
        <v>3690</v>
      </c>
      <c r="D357" s="3242">
        <v>3650</v>
      </c>
      <c r="E357" s="3242">
        <v>4020</v>
      </c>
      <c r="F357" s="3242">
        <v>700</v>
      </c>
      <c r="G357" s="3242">
        <v>2190</v>
      </c>
    </row>
    <row r="358" spans="1:7" s="3224" customFormat="1">
      <c r="A358" s="3236" t="s">
        <v>3166</v>
      </c>
      <c r="B358" s="3227" t="s">
        <v>3167</v>
      </c>
      <c r="C358" s="3227">
        <v>2080</v>
      </c>
      <c r="D358" s="3227">
        <v>2040</v>
      </c>
      <c r="E358" s="3227">
        <v>2010</v>
      </c>
      <c r="F358" s="3227">
        <v>530</v>
      </c>
      <c r="G358" s="3243">
        <v>1230</v>
      </c>
    </row>
    <row r="359" spans="1:7" s="3224" customFormat="1">
      <c r="A359" s="3231" t="s">
        <v>3166</v>
      </c>
      <c r="B359" s="3231" t="s">
        <v>3168</v>
      </c>
      <c r="C359" s="3231">
        <v>1850</v>
      </c>
      <c r="D359" s="3231">
        <v>1820</v>
      </c>
      <c r="E359" s="3231">
        <v>1780</v>
      </c>
      <c r="F359" s="3231">
        <v>520</v>
      </c>
      <c r="G359" s="3244">
        <v>1100</v>
      </c>
    </row>
    <row r="360" spans="1:7" s="3224" customFormat="1">
      <c r="A360" s="3231" t="s">
        <v>3166</v>
      </c>
      <c r="B360" s="3231" t="s">
        <v>3169</v>
      </c>
      <c r="C360" s="3231">
        <v>2020</v>
      </c>
      <c r="D360" s="3231">
        <v>1990</v>
      </c>
      <c r="E360" s="3231">
        <v>1950</v>
      </c>
      <c r="F360" s="3231">
        <v>500</v>
      </c>
      <c r="G360" s="3244">
        <v>1200</v>
      </c>
    </row>
    <row r="361" spans="1:7" s="3224" customFormat="1">
      <c r="A361" s="3231" t="s">
        <v>3166</v>
      </c>
      <c r="B361" s="3231" t="s">
        <v>153</v>
      </c>
      <c r="C361" s="3231">
        <v>2260</v>
      </c>
      <c r="D361" s="3231">
        <v>2220</v>
      </c>
      <c r="E361" s="3231">
        <v>2180</v>
      </c>
      <c r="F361" s="3231">
        <v>580</v>
      </c>
      <c r="G361" s="3244">
        <v>1340</v>
      </c>
    </row>
    <row r="362" spans="1:7" s="3224" customFormat="1">
      <c r="A362" s="3231" t="s">
        <v>3166</v>
      </c>
      <c r="B362" s="3231" t="s">
        <v>3170</v>
      </c>
      <c r="C362" s="3231">
        <v>2650</v>
      </c>
      <c r="D362" s="3231">
        <v>2610</v>
      </c>
      <c r="E362" s="3231">
        <v>2570</v>
      </c>
      <c r="F362" s="3231">
        <v>630</v>
      </c>
      <c r="G362" s="3244">
        <v>1570</v>
      </c>
    </row>
    <row r="363" spans="1:7" s="3224" customFormat="1">
      <c r="A363" s="3231" t="s">
        <v>3166</v>
      </c>
      <c r="B363" s="3231" t="s">
        <v>2891</v>
      </c>
      <c r="C363" s="3231">
        <v>2390</v>
      </c>
      <c r="D363" s="3231">
        <v>2360</v>
      </c>
      <c r="E363" s="3231">
        <v>2320</v>
      </c>
      <c r="F363" s="3231">
        <v>600</v>
      </c>
      <c r="G363" s="3244">
        <v>1420</v>
      </c>
    </row>
    <row r="364" spans="1:7" s="3224" customFormat="1">
      <c r="A364" s="3231" t="s">
        <v>3166</v>
      </c>
      <c r="B364" s="3231" t="s">
        <v>3171</v>
      </c>
      <c r="C364" s="3231">
        <v>2050</v>
      </c>
      <c r="D364" s="3231">
        <v>2030</v>
      </c>
      <c r="E364" s="3231">
        <v>1990</v>
      </c>
      <c r="F364" s="3231">
        <v>550</v>
      </c>
      <c r="G364" s="3244">
        <v>1220</v>
      </c>
    </row>
    <row r="365" spans="1:7" s="3224" customFormat="1">
      <c r="A365" s="3231" t="s">
        <v>3166</v>
      </c>
      <c r="B365" s="3231" t="s">
        <v>200</v>
      </c>
      <c r="C365" s="3231">
        <v>2140</v>
      </c>
      <c r="D365" s="3231">
        <v>2100</v>
      </c>
      <c r="E365" s="3231">
        <v>2060</v>
      </c>
      <c r="F365" s="3231">
        <v>540</v>
      </c>
      <c r="G365" s="3244">
        <v>1270</v>
      </c>
    </row>
    <row r="366" spans="1:7" s="3224" customFormat="1">
      <c r="A366" s="3231" t="s">
        <v>3166</v>
      </c>
      <c r="B366" s="3231" t="s">
        <v>2898</v>
      </c>
      <c r="C366" s="3231">
        <v>2410</v>
      </c>
      <c r="D366" s="3231">
        <v>2370</v>
      </c>
      <c r="E366" s="3231">
        <v>2330</v>
      </c>
      <c r="F366" s="3231">
        <v>570</v>
      </c>
      <c r="G366" s="3244">
        <v>1440</v>
      </c>
    </row>
    <row r="367" spans="1:7" s="3224" customFormat="1">
      <c r="A367" s="3231" t="s">
        <v>3166</v>
      </c>
      <c r="B367" s="3231" t="s">
        <v>3172</v>
      </c>
      <c r="C367" s="3231">
        <v>2300</v>
      </c>
      <c r="D367" s="3231">
        <v>2260</v>
      </c>
      <c r="E367" s="3231">
        <v>2220</v>
      </c>
      <c r="F367" s="3231">
        <v>560</v>
      </c>
      <c r="G367" s="3244">
        <v>1370</v>
      </c>
    </row>
    <row r="368" spans="1:7" s="3224" customFormat="1">
      <c r="A368" s="3231" t="s">
        <v>3166</v>
      </c>
      <c r="B368" s="3231" t="s">
        <v>3173</v>
      </c>
      <c r="C368" s="3231">
        <v>2430</v>
      </c>
      <c r="D368" s="3231">
        <v>2390</v>
      </c>
      <c r="E368" s="3231">
        <v>2350</v>
      </c>
      <c r="F368" s="3231">
        <v>570</v>
      </c>
      <c r="G368" s="3244">
        <v>1450</v>
      </c>
    </row>
    <row r="369" spans="1:7" s="3224" customFormat="1">
      <c r="A369" s="3231" t="s">
        <v>3166</v>
      </c>
      <c r="B369" s="3231" t="s">
        <v>214</v>
      </c>
      <c r="C369" s="3231">
        <v>2320</v>
      </c>
      <c r="D369" s="3231">
        <v>2290</v>
      </c>
      <c r="E369" s="3231">
        <v>2250</v>
      </c>
      <c r="F369" s="3231">
        <v>550</v>
      </c>
      <c r="G369" s="3244">
        <v>1380</v>
      </c>
    </row>
    <row r="370" spans="1:7" s="3224" customFormat="1">
      <c r="A370" s="3231" t="s">
        <v>3166</v>
      </c>
      <c r="B370" s="3231" t="s">
        <v>221</v>
      </c>
      <c r="C370" s="3231">
        <v>2190</v>
      </c>
      <c r="D370" s="3231">
        <v>2170</v>
      </c>
      <c r="E370" s="3231">
        <v>2130</v>
      </c>
      <c r="F370" s="3231">
        <v>530</v>
      </c>
      <c r="G370" s="3244">
        <v>1310</v>
      </c>
    </row>
    <row r="371" spans="1:7" s="3224" customFormat="1">
      <c r="A371" s="3231" t="s">
        <v>3166</v>
      </c>
      <c r="B371" s="3231" t="s">
        <v>229</v>
      </c>
      <c r="C371" s="3231">
        <v>2460</v>
      </c>
      <c r="D371" s="3231">
        <v>2420</v>
      </c>
      <c r="E371" s="3231">
        <v>2370</v>
      </c>
      <c r="F371" s="3231">
        <v>560</v>
      </c>
      <c r="G371" s="3244">
        <v>1470</v>
      </c>
    </row>
    <row r="372" spans="1:7" s="3224" customFormat="1">
      <c r="A372" s="3231" t="s">
        <v>3166</v>
      </c>
      <c r="B372" s="3231" t="s">
        <v>3174</v>
      </c>
      <c r="C372" s="3231">
        <v>2250</v>
      </c>
      <c r="D372" s="3231">
        <v>2210</v>
      </c>
      <c r="E372" s="3231">
        <v>2180</v>
      </c>
      <c r="F372" s="3231">
        <v>550</v>
      </c>
      <c r="G372" s="3244">
        <v>1340</v>
      </c>
    </row>
    <row r="373" spans="1:7" s="3224" customFormat="1">
      <c r="A373" s="3231" t="s">
        <v>3166</v>
      </c>
      <c r="B373" s="3231" t="s">
        <v>258</v>
      </c>
      <c r="C373" s="3231">
        <v>2210</v>
      </c>
      <c r="D373" s="3231">
        <v>2190</v>
      </c>
      <c r="E373" s="3231">
        <v>2150</v>
      </c>
      <c r="F373" s="3231">
        <v>530</v>
      </c>
      <c r="G373" s="3244">
        <v>1320</v>
      </c>
    </row>
    <row r="374" spans="1:7" s="3224" customFormat="1">
      <c r="A374" s="3231" t="s">
        <v>3166</v>
      </c>
      <c r="B374" s="3231" t="s">
        <v>266</v>
      </c>
      <c r="C374" s="3231">
        <v>2320</v>
      </c>
      <c r="D374" s="3231">
        <v>2280</v>
      </c>
      <c r="E374" s="3231">
        <v>2230</v>
      </c>
      <c r="F374" s="3231">
        <v>580</v>
      </c>
      <c r="G374" s="3244">
        <v>1380</v>
      </c>
    </row>
    <row r="375" spans="1:7" s="3224" customFormat="1">
      <c r="A375" s="3231" t="s">
        <v>3166</v>
      </c>
      <c r="B375" s="3231" t="s">
        <v>3175</v>
      </c>
      <c r="C375" s="3231">
        <v>2090</v>
      </c>
      <c r="D375" s="3231">
        <v>2050</v>
      </c>
      <c r="E375" s="3231">
        <v>2020</v>
      </c>
      <c r="F375" s="3231">
        <v>520</v>
      </c>
      <c r="G375" s="3244">
        <v>1240</v>
      </c>
    </row>
    <row r="376" spans="1:7" s="3224" customFormat="1">
      <c r="A376" s="3231" t="s">
        <v>3166</v>
      </c>
      <c r="B376" s="3231" t="s">
        <v>277</v>
      </c>
      <c r="C376" s="3231">
        <v>2010</v>
      </c>
      <c r="D376" s="3231">
        <v>1980</v>
      </c>
      <c r="E376" s="3231">
        <v>1940</v>
      </c>
      <c r="F376" s="3231">
        <v>540</v>
      </c>
      <c r="G376" s="3244">
        <v>1190</v>
      </c>
    </row>
    <row r="377" spans="1:7" s="3224" customFormat="1" ht="12" thickBot="1">
      <c r="A377" s="3239" t="s">
        <v>3166</v>
      </c>
      <c r="B377" s="3242" t="s">
        <v>2928</v>
      </c>
      <c r="C377" s="3242">
        <v>1930</v>
      </c>
      <c r="D377" s="3242">
        <v>1890</v>
      </c>
      <c r="E377" s="3242">
        <v>1860</v>
      </c>
      <c r="F377" s="3242">
        <v>530</v>
      </c>
      <c r="G377" s="3247">
        <v>1150</v>
      </c>
    </row>
    <row r="378" spans="1:7" s="3224" customFormat="1">
      <c r="A378" s="3248" t="s">
        <v>3176</v>
      </c>
      <c r="B378" s="3227" t="s">
        <v>3177</v>
      </c>
      <c r="C378" s="3227">
        <v>1520</v>
      </c>
      <c r="D378" s="3227">
        <v>1490</v>
      </c>
      <c r="E378" s="3227">
        <v>1460</v>
      </c>
      <c r="F378" s="3227">
        <v>460</v>
      </c>
      <c r="G378" s="3243">
        <v>940</v>
      </c>
    </row>
    <row r="379" spans="1:7" s="3224" customFormat="1">
      <c r="A379" s="3249" t="s">
        <v>3176</v>
      </c>
      <c r="B379" s="3231" t="s">
        <v>3178</v>
      </c>
      <c r="C379" s="3231">
        <v>1500</v>
      </c>
      <c r="D379" s="3231">
        <v>1470</v>
      </c>
      <c r="E379" s="3231">
        <v>1430</v>
      </c>
      <c r="F379" s="3231">
        <v>460</v>
      </c>
      <c r="G379" s="3244">
        <v>920</v>
      </c>
    </row>
    <row r="380" spans="1:7" s="3224" customFormat="1">
      <c r="A380" s="3249" t="s">
        <v>3176</v>
      </c>
      <c r="B380" s="3231" t="s">
        <v>3179</v>
      </c>
      <c r="C380" s="3231">
        <v>1620</v>
      </c>
      <c r="D380" s="3231">
        <v>1590</v>
      </c>
      <c r="E380" s="3231">
        <v>1560</v>
      </c>
      <c r="F380" s="3231">
        <v>480</v>
      </c>
      <c r="G380" s="3244">
        <v>1000</v>
      </c>
    </row>
    <row r="381" spans="1:7" s="3224" customFormat="1">
      <c r="A381" s="3249" t="s">
        <v>3176</v>
      </c>
      <c r="B381" s="3231" t="s">
        <v>3180</v>
      </c>
      <c r="C381" s="3231">
        <v>1460</v>
      </c>
      <c r="D381" s="3231">
        <v>1430</v>
      </c>
      <c r="E381" s="3231">
        <v>1390</v>
      </c>
      <c r="F381" s="3231">
        <v>450</v>
      </c>
      <c r="G381" s="3244">
        <v>900</v>
      </c>
    </row>
    <row r="382" spans="1:7" s="3224" customFormat="1">
      <c r="A382" s="3249" t="s">
        <v>3176</v>
      </c>
      <c r="B382" s="3231" t="s">
        <v>3181</v>
      </c>
      <c r="C382" s="3231">
        <v>1310</v>
      </c>
      <c r="D382" s="3231">
        <v>1280</v>
      </c>
      <c r="E382" s="3231">
        <v>1250</v>
      </c>
      <c r="F382" s="3231">
        <v>440</v>
      </c>
      <c r="G382" s="3244">
        <v>800</v>
      </c>
    </row>
    <row r="383" spans="1:7" s="3224" customFormat="1">
      <c r="A383" s="3249" t="s">
        <v>3176</v>
      </c>
      <c r="B383" s="3231" t="s">
        <v>3182</v>
      </c>
      <c r="C383" s="3231">
        <v>1260</v>
      </c>
      <c r="D383" s="3231">
        <v>1230</v>
      </c>
      <c r="E383" s="3231">
        <v>1200</v>
      </c>
      <c r="F383" s="3231">
        <v>420</v>
      </c>
      <c r="G383" s="3244">
        <v>770</v>
      </c>
    </row>
    <row r="384" spans="1:7" s="3224" customFormat="1" ht="12" thickBot="1">
      <c r="A384" s="3250" t="s">
        <v>3176</v>
      </c>
      <c r="B384" s="3238" t="s">
        <v>3183</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87" t="s">
        <v>3184</v>
      </c>
      <c r="B1" s="3787"/>
    </row>
    <row r="2" spans="1:7" ht="14.25" thickBot="1">
      <c r="A2" s="3253"/>
      <c r="B2" s="3253"/>
    </row>
    <row r="3" spans="1:7" ht="14.25" thickBot="1">
      <c r="A3" s="3253"/>
      <c r="B3" s="3253"/>
      <c r="C3" s="3254" t="s">
        <v>2812</v>
      </c>
      <c r="D3" s="3254" t="s">
        <v>2870</v>
      </c>
      <c r="E3" s="3254" t="s">
        <v>2814</v>
      </c>
      <c r="F3" s="3254" t="s">
        <v>2871</v>
      </c>
      <c r="G3" s="3254" t="s">
        <v>2632</v>
      </c>
    </row>
    <row r="4" spans="1:7" ht="14.25" thickBot="1">
      <c r="A4" s="3255" t="s">
        <v>2869</v>
      </c>
      <c r="B4" s="3256" t="s">
        <v>2875</v>
      </c>
      <c r="C4" s="3254"/>
      <c r="D4" s="3254"/>
      <c r="E4" s="3254"/>
      <c r="F4" s="3254"/>
      <c r="G4" s="3254"/>
    </row>
    <row r="5" spans="1:7">
      <c r="A5" s="3257" t="s">
        <v>2843</v>
      </c>
      <c r="B5" s="3258" t="s">
        <v>2857</v>
      </c>
      <c r="C5" s="3259">
        <v>9.8000000000000004E-2</v>
      </c>
      <c r="D5" s="3259">
        <v>8.6999999999999994E-2</v>
      </c>
      <c r="E5" s="3259">
        <v>8.6999999999999994E-2</v>
      </c>
      <c r="F5" s="3259">
        <v>9.8000000000000004E-2</v>
      </c>
      <c r="G5" s="3260">
        <v>9.5000000000000001E-2</v>
      </c>
    </row>
    <row r="6" spans="1:7">
      <c r="A6" s="3261" t="s">
        <v>144</v>
      </c>
      <c r="B6" s="3262" t="s">
        <v>2872</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2858</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2908</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2926</v>
      </c>
      <c r="C29" s="3271"/>
      <c r="D29" s="3267">
        <v>5.1999999999999998E-2</v>
      </c>
      <c r="E29" s="3267">
        <v>7.0000000000000007E-2</v>
      </c>
      <c r="F29" s="3271"/>
      <c r="G29" s="3269">
        <v>7.0999999999999994E-2</v>
      </c>
    </row>
    <row r="30" spans="1:7">
      <c r="A30" s="3272" t="s">
        <v>296</v>
      </c>
      <c r="B30" s="3258" t="s">
        <v>2859</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2845</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2929</v>
      </c>
      <c r="C50" s="3263">
        <v>9.8000000000000004E-2</v>
      </c>
      <c r="D50" s="3263">
        <v>7.2999999999999995E-2</v>
      </c>
      <c r="E50" s="3263">
        <v>7.0999999999999994E-2</v>
      </c>
      <c r="F50" s="3274"/>
      <c r="G50" s="3264">
        <v>7.2999999999999995E-2</v>
      </c>
    </row>
    <row r="51" spans="1:7">
      <c r="A51" s="3273" t="s">
        <v>296</v>
      </c>
      <c r="B51" s="3262" t="s">
        <v>2931</v>
      </c>
      <c r="C51" s="3263">
        <v>9.9000000000000005E-2</v>
      </c>
      <c r="D51" s="3263">
        <v>8.5000000000000006E-2</v>
      </c>
      <c r="E51" s="3263">
        <v>6.3E-2</v>
      </c>
      <c r="F51" s="3274"/>
      <c r="G51" s="3264">
        <v>9.6000000000000002E-2</v>
      </c>
    </row>
    <row r="52" spans="1:7">
      <c r="A52" s="3273" t="s">
        <v>296</v>
      </c>
      <c r="B52" s="3262" t="s">
        <v>2935</v>
      </c>
      <c r="C52" s="3263">
        <v>7.3999999999999996E-2</v>
      </c>
      <c r="D52" s="3263">
        <v>9.6000000000000002E-2</v>
      </c>
      <c r="E52" s="3263">
        <v>0.05</v>
      </c>
      <c r="F52" s="3274"/>
      <c r="G52" s="3264">
        <v>9.8000000000000004E-2</v>
      </c>
    </row>
    <row r="53" spans="1:7">
      <c r="A53" s="3273" t="s">
        <v>296</v>
      </c>
      <c r="B53" s="3262" t="s">
        <v>2940</v>
      </c>
      <c r="C53" s="3263">
        <v>8.5999999999999993E-2</v>
      </c>
      <c r="D53" s="3274"/>
      <c r="E53" s="3263">
        <v>9.1999999999999998E-2</v>
      </c>
      <c r="F53" s="3274"/>
      <c r="G53" s="3275"/>
    </row>
    <row r="54" spans="1:7" ht="14.25" thickBot="1">
      <c r="A54" s="3276" t="s">
        <v>296</v>
      </c>
      <c r="B54" s="3266" t="s">
        <v>2943</v>
      </c>
      <c r="C54" s="3267">
        <v>9.6000000000000002E-2</v>
      </c>
      <c r="D54" s="3268"/>
      <c r="E54" s="3277"/>
      <c r="F54" s="3268"/>
      <c r="G54" s="3278"/>
    </row>
    <row r="55" spans="1:7">
      <c r="A55" s="3272" t="s">
        <v>110</v>
      </c>
      <c r="B55" s="3258" t="s">
        <v>2860</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2941</v>
      </c>
      <c r="C78" s="3263">
        <v>0.1</v>
      </c>
      <c r="D78" s="3263">
        <v>8.5000000000000006E-2</v>
      </c>
      <c r="E78" s="3263">
        <v>9.6000000000000002E-2</v>
      </c>
      <c r="F78" s="3274"/>
      <c r="G78" s="3264">
        <v>9.6000000000000002E-2</v>
      </c>
    </row>
    <row r="79" spans="1:7">
      <c r="A79" s="3273" t="s">
        <v>110</v>
      </c>
      <c r="B79" s="3262" t="s">
        <v>2944</v>
      </c>
      <c r="C79" s="3263">
        <v>0.05</v>
      </c>
      <c r="D79" s="3263">
        <v>9.6000000000000002E-2</v>
      </c>
      <c r="E79" s="3263">
        <v>9.5000000000000001E-2</v>
      </c>
      <c r="F79" s="3274"/>
      <c r="G79" s="3264">
        <v>9.8000000000000004E-2</v>
      </c>
    </row>
    <row r="80" spans="1:7">
      <c r="A80" s="3273" t="s">
        <v>110</v>
      </c>
      <c r="B80" s="3262" t="s">
        <v>2948</v>
      </c>
      <c r="C80" s="3263">
        <v>8.5999999999999993E-2</v>
      </c>
      <c r="D80" s="3279"/>
      <c r="E80" s="3263">
        <v>0.1</v>
      </c>
      <c r="F80" s="3274"/>
      <c r="G80" s="3275"/>
    </row>
    <row r="81" spans="1:7">
      <c r="A81" s="3273" t="s">
        <v>110</v>
      </c>
      <c r="B81" s="3262" t="s">
        <v>2953</v>
      </c>
      <c r="C81" s="3263">
        <v>9.6000000000000002E-2</v>
      </c>
      <c r="D81" s="3274"/>
      <c r="E81" s="3263">
        <v>9.8000000000000004E-2</v>
      </c>
      <c r="F81" s="3274"/>
      <c r="G81" s="3275"/>
    </row>
    <row r="82" spans="1:7">
      <c r="A82" s="3273" t="s">
        <v>110</v>
      </c>
      <c r="B82" s="3262" t="s">
        <v>2960</v>
      </c>
      <c r="C82" s="3279"/>
      <c r="D82" s="3274"/>
      <c r="E82" s="3263">
        <v>7.6999999999999999E-2</v>
      </c>
      <c r="F82" s="3274"/>
      <c r="G82" s="3275"/>
    </row>
    <row r="83" spans="1:7">
      <c r="A83" s="3273" t="s">
        <v>110</v>
      </c>
      <c r="B83" s="3262" t="s">
        <v>2966</v>
      </c>
      <c r="C83" s="3274"/>
      <c r="D83" s="3274"/>
      <c r="E83" s="3274"/>
      <c r="F83" s="3263">
        <v>0.1</v>
      </c>
      <c r="G83" s="3280"/>
    </row>
    <row r="84" spans="1:7">
      <c r="A84" s="3273" t="s">
        <v>110</v>
      </c>
      <c r="B84" s="3262" t="s">
        <v>2973</v>
      </c>
      <c r="C84" s="3274"/>
      <c r="D84" s="3274"/>
      <c r="E84" s="3274"/>
      <c r="F84" s="3263">
        <v>0.1</v>
      </c>
      <c r="G84" s="3280"/>
    </row>
    <row r="85" spans="1:7">
      <c r="A85" s="3273" t="s">
        <v>110</v>
      </c>
      <c r="B85" s="3262" t="s">
        <v>2980</v>
      </c>
      <c r="C85" s="3274"/>
      <c r="D85" s="3274"/>
      <c r="E85" s="3274"/>
      <c r="F85" s="3263">
        <v>0.1</v>
      </c>
      <c r="G85" s="3280"/>
    </row>
    <row r="86" spans="1:7" ht="14.25" thickBot="1">
      <c r="A86" s="3276" t="s">
        <v>110</v>
      </c>
      <c r="B86" s="3266" t="s">
        <v>2985</v>
      </c>
      <c r="C86" s="3267">
        <v>9.8000000000000004E-2</v>
      </c>
      <c r="D86" s="3267">
        <v>9.8000000000000004E-2</v>
      </c>
      <c r="E86" s="3267">
        <v>9.6000000000000002E-2</v>
      </c>
      <c r="F86" s="3277"/>
      <c r="G86" s="3269">
        <v>0.1</v>
      </c>
    </row>
    <row r="87" spans="1:7">
      <c r="A87" s="3272" t="s">
        <v>303</v>
      </c>
      <c r="B87" s="3258" t="s">
        <v>2861</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2954</v>
      </c>
      <c r="C113" s="3263">
        <v>0.1</v>
      </c>
      <c r="D113" s="3263">
        <v>0.1</v>
      </c>
      <c r="E113" s="3274"/>
      <c r="F113" s="3274"/>
      <c r="G113" s="3264">
        <v>0.1</v>
      </c>
    </row>
    <row r="114" spans="1:7">
      <c r="A114" s="3273" t="s">
        <v>303</v>
      </c>
      <c r="B114" s="3262" t="s">
        <v>2961</v>
      </c>
      <c r="C114" s="3263">
        <v>9.7000000000000003E-2</v>
      </c>
      <c r="D114" s="3263">
        <v>9.7000000000000003E-2</v>
      </c>
      <c r="E114" s="3274"/>
      <c r="F114" s="3274"/>
      <c r="G114" s="3264">
        <v>9.9000000000000005E-2</v>
      </c>
    </row>
    <row r="115" spans="1:7">
      <c r="A115" s="3273" t="s">
        <v>303</v>
      </c>
      <c r="B115" s="3262" t="s">
        <v>2967</v>
      </c>
      <c r="C115" s="3263">
        <v>0.1</v>
      </c>
      <c r="D115" s="3263">
        <v>0.1</v>
      </c>
      <c r="E115" s="3274"/>
      <c r="F115" s="3274"/>
      <c r="G115" s="3264">
        <v>0.1</v>
      </c>
    </row>
    <row r="116" spans="1:7">
      <c r="A116" s="3273" t="s">
        <v>303</v>
      </c>
      <c r="B116" s="3262" t="s">
        <v>2974</v>
      </c>
      <c r="C116" s="3263">
        <v>0.1</v>
      </c>
      <c r="D116" s="3263">
        <v>0.1</v>
      </c>
      <c r="E116" s="3274"/>
      <c r="F116" s="3274"/>
      <c r="G116" s="3264">
        <v>0.1</v>
      </c>
    </row>
    <row r="117" spans="1:7">
      <c r="A117" s="3273" t="s">
        <v>303</v>
      </c>
      <c r="B117" s="3262" t="s">
        <v>2981</v>
      </c>
      <c r="C117" s="3263">
        <v>9.7000000000000003E-2</v>
      </c>
      <c r="D117" s="3263">
        <v>9.7000000000000003E-2</v>
      </c>
      <c r="E117" s="3274"/>
      <c r="F117" s="3274"/>
      <c r="G117" s="3264">
        <v>9.7000000000000003E-2</v>
      </c>
    </row>
    <row r="118" spans="1:7">
      <c r="A118" s="3273" t="s">
        <v>303</v>
      </c>
      <c r="B118" s="3262" t="s">
        <v>2986</v>
      </c>
      <c r="C118" s="3263">
        <v>0.1</v>
      </c>
      <c r="D118" s="3263">
        <v>0.1</v>
      </c>
      <c r="E118" s="3274"/>
      <c r="F118" s="3274"/>
      <c r="G118" s="3264">
        <v>0.1</v>
      </c>
    </row>
    <row r="119" spans="1:7">
      <c r="A119" s="3273" t="s">
        <v>303</v>
      </c>
      <c r="B119" s="3262" t="s">
        <v>2990</v>
      </c>
      <c r="C119" s="3263">
        <v>5.0999999999999997E-2</v>
      </c>
      <c r="D119" s="3263">
        <v>5.1999999999999998E-2</v>
      </c>
      <c r="E119" s="3274"/>
      <c r="F119" s="3279"/>
      <c r="G119" s="3264">
        <v>0.06</v>
      </c>
    </row>
    <row r="120" spans="1:7">
      <c r="A120" s="3273" t="s">
        <v>303</v>
      </c>
      <c r="B120" s="3262" t="s">
        <v>2994</v>
      </c>
      <c r="C120" s="3274"/>
      <c r="D120" s="3274"/>
      <c r="E120" s="3274"/>
      <c r="F120" s="3263">
        <v>0.1</v>
      </c>
      <c r="G120" s="3280"/>
    </row>
    <row r="121" spans="1:7">
      <c r="A121" s="3273" t="s">
        <v>303</v>
      </c>
      <c r="B121" s="3262" t="s">
        <v>2999</v>
      </c>
      <c r="C121" s="3274"/>
      <c r="D121" s="3274"/>
      <c r="E121" s="3274"/>
      <c r="F121" s="3263">
        <v>0.1</v>
      </c>
      <c r="G121" s="3280"/>
    </row>
    <row r="122" spans="1:7">
      <c r="A122" s="3273" t="s">
        <v>303</v>
      </c>
      <c r="B122" s="3262" t="s">
        <v>3004</v>
      </c>
      <c r="C122" s="3263">
        <v>0.1</v>
      </c>
      <c r="D122" s="3263">
        <v>0.1</v>
      </c>
      <c r="E122" s="3263">
        <v>9.8000000000000004E-2</v>
      </c>
      <c r="F122" s="3263">
        <v>0.1</v>
      </c>
      <c r="G122" s="3264">
        <v>0.1</v>
      </c>
    </row>
    <row r="123" spans="1:7">
      <c r="A123" s="3273" t="s">
        <v>303</v>
      </c>
      <c r="B123" s="3262" t="s">
        <v>3009</v>
      </c>
      <c r="C123" s="3263">
        <v>0.1</v>
      </c>
      <c r="D123" s="3263">
        <v>0.1</v>
      </c>
      <c r="E123" s="3263">
        <v>9.8000000000000004E-2</v>
      </c>
      <c r="F123" s="3263">
        <v>0.1</v>
      </c>
      <c r="G123" s="3264">
        <v>0.1</v>
      </c>
    </row>
    <row r="124" spans="1:7">
      <c r="A124" s="3273" t="s">
        <v>303</v>
      </c>
      <c r="B124" s="3262" t="s">
        <v>3014</v>
      </c>
      <c r="C124" s="3263">
        <v>0.1</v>
      </c>
      <c r="D124" s="3263">
        <v>0.1</v>
      </c>
      <c r="E124" s="3263">
        <v>9.8000000000000004E-2</v>
      </c>
      <c r="F124" s="3279"/>
      <c r="G124" s="3264">
        <v>0.1</v>
      </c>
    </row>
    <row r="125" spans="1:7">
      <c r="A125" s="3273" t="s">
        <v>303</v>
      </c>
      <c r="B125" s="3262" t="s">
        <v>3019</v>
      </c>
      <c r="C125" s="3263">
        <v>9.8000000000000004E-2</v>
      </c>
      <c r="D125" s="3263">
        <v>9.8000000000000004E-2</v>
      </c>
      <c r="E125" s="3263">
        <v>9.6000000000000002E-2</v>
      </c>
      <c r="F125" s="3279"/>
      <c r="G125" s="3264">
        <v>0.1</v>
      </c>
    </row>
    <row r="126" spans="1:7" ht="14.25" thickBot="1">
      <c r="A126" s="3276" t="s">
        <v>303</v>
      </c>
      <c r="B126" s="3266" t="s">
        <v>3185</v>
      </c>
      <c r="C126" s="3267">
        <v>0.1</v>
      </c>
      <c r="D126" s="3267">
        <v>0.1</v>
      </c>
      <c r="E126" s="3267">
        <v>9.8000000000000004E-2</v>
      </c>
      <c r="F126" s="3267">
        <v>0.1</v>
      </c>
      <c r="G126" s="3269">
        <v>0.1</v>
      </c>
    </row>
    <row r="127" spans="1:7">
      <c r="A127" s="3272" t="s">
        <v>29</v>
      </c>
      <c r="B127" s="3258" t="s">
        <v>2862</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2932</v>
      </c>
      <c r="C148" s="3263">
        <v>0.13</v>
      </c>
      <c r="D148" s="3263">
        <v>0.13</v>
      </c>
      <c r="E148" s="3263">
        <v>0.13</v>
      </c>
      <c r="F148" s="3274"/>
      <c r="G148" s="3264">
        <v>0.13</v>
      </c>
    </row>
    <row r="149" spans="1:7">
      <c r="A149" s="3273" t="s">
        <v>29</v>
      </c>
      <c r="B149" s="3262" t="s">
        <v>2936</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2955</v>
      </c>
      <c r="C153" s="3263">
        <v>0.13</v>
      </c>
      <c r="D153" s="3263">
        <v>0.13</v>
      </c>
      <c r="E153" s="3263">
        <v>0.13</v>
      </c>
      <c r="F153" s="3263">
        <v>0.13</v>
      </c>
      <c r="G153" s="3264">
        <v>0.13</v>
      </c>
    </row>
    <row r="154" spans="1:7">
      <c r="A154" s="3273" t="s">
        <v>29</v>
      </c>
      <c r="B154" s="3262" t="s">
        <v>2962</v>
      </c>
      <c r="C154" s="3263">
        <v>0.121</v>
      </c>
      <c r="D154" s="3263">
        <v>0.121</v>
      </c>
      <c r="E154" s="3263">
        <v>0.105</v>
      </c>
      <c r="F154" s="3263">
        <v>0.121</v>
      </c>
      <c r="G154" s="3264">
        <v>0.123</v>
      </c>
    </row>
    <row r="155" spans="1:7">
      <c r="A155" s="3273" t="s">
        <v>29</v>
      </c>
      <c r="B155" s="3262" t="s">
        <v>2968</v>
      </c>
      <c r="C155" s="3263">
        <v>0.1</v>
      </c>
      <c r="D155" s="3263">
        <v>0.1</v>
      </c>
      <c r="E155" s="3263">
        <v>0.1</v>
      </c>
      <c r="F155" s="3263">
        <v>0.1</v>
      </c>
      <c r="G155" s="3264">
        <v>0.1</v>
      </c>
    </row>
    <row r="156" spans="1:7">
      <c r="A156" s="3273" t="s">
        <v>29</v>
      </c>
      <c r="B156" s="3262" t="s">
        <v>2975</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2995</v>
      </c>
      <c r="C160" s="3263">
        <v>0.13</v>
      </c>
      <c r="D160" s="3263">
        <v>0.13</v>
      </c>
      <c r="E160" s="3263">
        <v>0.124</v>
      </c>
      <c r="F160" s="3263">
        <v>0.126</v>
      </c>
      <c r="G160" s="3264">
        <v>0.13</v>
      </c>
    </row>
    <row r="161" spans="1:7">
      <c r="A161" s="3273" t="s">
        <v>29</v>
      </c>
      <c r="B161" s="3262" t="s">
        <v>3000</v>
      </c>
      <c r="C161" s="3263">
        <v>0.13</v>
      </c>
      <c r="D161" s="3263">
        <v>0.13</v>
      </c>
      <c r="E161" s="3263">
        <v>0.124</v>
      </c>
      <c r="F161" s="3263">
        <v>0.127</v>
      </c>
      <c r="G161" s="3264">
        <v>0.13</v>
      </c>
    </row>
    <row r="162" spans="1:7">
      <c r="A162" s="3273" t="s">
        <v>29</v>
      </c>
      <c r="B162" s="3262" t="s">
        <v>3005</v>
      </c>
      <c r="C162" s="3263">
        <v>0.1</v>
      </c>
      <c r="D162" s="3263">
        <v>0.1</v>
      </c>
      <c r="E162" s="3263">
        <v>0.1</v>
      </c>
      <c r="F162" s="3263">
        <v>0.121</v>
      </c>
      <c r="G162" s="3264">
        <v>0.105</v>
      </c>
    </row>
    <row r="163" spans="1:7">
      <c r="A163" s="3273" t="s">
        <v>29</v>
      </c>
      <c r="B163" s="3262" t="s">
        <v>3010</v>
      </c>
      <c r="C163" s="3263">
        <v>0.1</v>
      </c>
      <c r="D163" s="3263">
        <v>0.1</v>
      </c>
      <c r="E163" s="3263">
        <v>0.1</v>
      </c>
      <c r="F163" s="3263">
        <v>0.1</v>
      </c>
      <c r="G163" s="3264">
        <v>0.1</v>
      </c>
    </row>
    <row r="164" spans="1:7">
      <c r="A164" s="3273" t="s">
        <v>29</v>
      </c>
      <c r="B164" s="3262" t="s">
        <v>3015</v>
      </c>
      <c r="C164" s="3279"/>
      <c r="D164" s="3279"/>
      <c r="E164" s="3279"/>
      <c r="F164" s="3263">
        <v>0.1</v>
      </c>
      <c r="G164" s="3275"/>
    </row>
    <row r="165" spans="1:7">
      <c r="A165" s="3273" t="s">
        <v>29</v>
      </c>
      <c r="B165" s="3262" t="s">
        <v>3186</v>
      </c>
      <c r="C165" s="3263">
        <v>0.126</v>
      </c>
      <c r="D165" s="3263">
        <v>0.126</v>
      </c>
      <c r="E165" s="3263">
        <v>0.11899999999999999</v>
      </c>
      <c r="F165" s="3263">
        <v>0.13</v>
      </c>
      <c r="G165" s="3264">
        <v>0.128</v>
      </c>
    </row>
    <row r="166" spans="1:7">
      <c r="A166" s="3273" t="s">
        <v>29</v>
      </c>
      <c r="B166" s="3262" t="s">
        <v>3025</v>
      </c>
      <c r="C166" s="3263">
        <v>0.129</v>
      </c>
      <c r="D166" s="3263">
        <v>0.129</v>
      </c>
      <c r="E166" s="3263">
        <v>0.123</v>
      </c>
      <c r="F166" s="3263">
        <v>0.128</v>
      </c>
      <c r="G166" s="3264">
        <v>0.13</v>
      </c>
    </row>
    <row r="167" spans="1:7">
      <c r="A167" s="3273" t="s">
        <v>29</v>
      </c>
      <c r="B167" s="3262" t="s">
        <v>3029</v>
      </c>
      <c r="C167" s="3263">
        <v>0.125</v>
      </c>
      <c r="D167" s="3263">
        <v>0.125</v>
      </c>
      <c r="E167" s="3263">
        <v>0.11700000000000001</v>
      </c>
      <c r="F167" s="3263">
        <v>0.13</v>
      </c>
      <c r="G167" s="3264">
        <v>0.126</v>
      </c>
    </row>
    <row r="168" spans="1:7">
      <c r="A168" s="3273" t="s">
        <v>29</v>
      </c>
      <c r="B168" s="3262" t="s">
        <v>3034</v>
      </c>
      <c r="C168" s="3263">
        <v>0.128</v>
      </c>
      <c r="D168" s="3263">
        <v>0.128</v>
      </c>
      <c r="E168" s="3263">
        <v>0.123</v>
      </c>
      <c r="F168" s="3274"/>
      <c r="G168" s="3264">
        <v>0.13</v>
      </c>
    </row>
    <row r="169" spans="1:7">
      <c r="A169" s="3273" t="s">
        <v>29</v>
      </c>
      <c r="B169" s="3262" t="s">
        <v>3187</v>
      </c>
      <c r="C169" s="3279"/>
      <c r="D169" s="3279"/>
      <c r="E169" s="3279"/>
      <c r="F169" s="3263">
        <v>0.05</v>
      </c>
      <c r="G169" s="3275"/>
    </row>
    <row r="170" spans="1:7">
      <c r="A170" s="3273" t="s">
        <v>29</v>
      </c>
      <c r="B170" s="3262" t="s">
        <v>3188</v>
      </c>
      <c r="C170" s="3279"/>
      <c r="D170" s="3279"/>
      <c r="E170" s="3279"/>
      <c r="F170" s="3263">
        <v>0.05</v>
      </c>
      <c r="G170" s="3275"/>
    </row>
    <row r="171" spans="1:7">
      <c r="A171" s="3273" t="s">
        <v>29</v>
      </c>
      <c r="B171" s="3262" t="s">
        <v>3189</v>
      </c>
      <c r="C171" s="3279"/>
      <c r="D171" s="3279"/>
      <c r="E171" s="3279"/>
      <c r="F171" s="3263">
        <v>0.05</v>
      </c>
      <c r="G171" s="3280"/>
    </row>
    <row r="172" spans="1:7">
      <c r="A172" s="3273" t="s">
        <v>29</v>
      </c>
      <c r="B172" s="3262" t="s">
        <v>3190</v>
      </c>
      <c r="C172" s="3279"/>
      <c r="D172" s="3279"/>
      <c r="E172" s="3279"/>
      <c r="F172" s="3263">
        <v>0.05</v>
      </c>
      <c r="G172" s="3280"/>
    </row>
    <row r="173" spans="1:7">
      <c r="A173" s="3273" t="s">
        <v>29</v>
      </c>
      <c r="B173" s="3262" t="s">
        <v>3191</v>
      </c>
      <c r="C173" s="3279"/>
      <c r="D173" s="3279"/>
      <c r="E173" s="3279"/>
      <c r="F173" s="3263">
        <v>0.05</v>
      </c>
      <c r="G173" s="3275"/>
    </row>
    <row r="174" spans="1:7">
      <c r="A174" s="3273" t="s">
        <v>29</v>
      </c>
      <c r="B174" s="3262" t="s">
        <v>3192</v>
      </c>
      <c r="C174" s="3279"/>
      <c r="D174" s="3279"/>
      <c r="E174" s="3279"/>
      <c r="F174" s="3263">
        <v>0.05</v>
      </c>
      <c r="G174" s="3275"/>
    </row>
    <row r="175" spans="1:7">
      <c r="A175" s="3273" t="s">
        <v>29</v>
      </c>
      <c r="B175" s="3262" t="s">
        <v>3193</v>
      </c>
      <c r="C175" s="3279"/>
      <c r="D175" s="3279"/>
      <c r="E175" s="3279"/>
      <c r="F175" s="3263">
        <v>0.05</v>
      </c>
      <c r="G175" s="3275"/>
    </row>
    <row r="176" spans="1:7">
      <c r="A176" s="3273" t="s">
        <v>29</v>
      </c>
      <c r="B176" s="3262" t="s">
        <v>3194</v>
      </c>
      <c r="C176" s="3279"/>
      <c r="D176" s="3279"/>
      <c r="E176" s="3279"/>
      <c r="F176" s="3263">
        <v>0.05</v>
      </c>
      <c r="G176" s="3275"/>
    </row>
    <row r="177" spans="1:7">
      <c r="A177" s="3273" t="s">
        <v>29</v>
      </c>
      <c r="B177" s="3262" t="s">
        <v>3195</v>
      </c>
      <c r="C177" s="3274"/>
      <c r="D177" s="3274"/>
      <c r="E177" s="3274"/>
      <c r="F177" s="3263">
        <v>0.05</v>
      </c>
      <c r="G177" s="3280"/>
    </row>
    <row r="178" spans="1:7">
      <c r="A178" s="3273" t="s">
        <v>29</v>
      </c>
      <c r="B178" s="3262" t="s">
        <v>3196</v>
      </c>
      <c r="C178" s="3274"/>
      <c r="D178" s="3274"/>
      <c r="E178" s="3274"/>
      <c r="F178" s="3263">
        <v>0.05</v>
      </c>
      <c r="G178" s="3280"/>
    </row>
    <row r="179" spans="1:7">
      <c r="A179" s="3273" t="s">
        <v>29</v>
      </c>
      <c r="B179" s="3262" t="s">
        <v>3197</v>
      </c>
      <c r="C179" s="3274"/>
      <c r="D179" s="3274"/>
      <c r="E179" s="3274"/>
      <c r="F179" s="3263">
        <v>0.05</v>
      </c>
      <c r="G179" s="3280"/>
    </row>
    <row r="180" spans="1:7">
      <c r="A180" s="3273" t="s">
        <v>29</v>
      </c>
      <c r="B180" s="3262" t="s">
        <v>3198</v>
      </c>
      <c r="C180" s="3274"/>
      <c r="D180" s="3274"/>
      <c r="E180" s="3274"/>
      <c r="F180" s="3263">
        <v>0.05</v>
      </c>
      <c r="G180" s="3280"/>
    </row>
    <row r="181" spans="1:7">
      <c r="A181" s="3273" t="s">
        <v>29</v>
      </c>
      <c r="B181" s="3262" t="s">
        <v>3199</v>
      </c>
      <c r="C181" s="3274"/>
      <c r="D181" s="3274"/>
      <c r="E181" s="3274"/>
      <c r="F181" s="3263">
        <v>0.05</v>
      </c>
      <c r="G181" s="3280"/>
    </row>
    <row r="182" spans="1:7">
      <c r="A182" s="3273" t="s">
        <v>29</v>
      </c>
      <c r="B182" s="3262" t="s">
        <v>3200</v>
      </c>
      <c r="C182" s="3274"/>
      <c r="D182" s="3274"/>
      <c r="E182" s="3274"/>
      <c r="F182" s="3263">
        <v>0.05</v>
      </c>
      <c r="G182" s="3280"/>
    </row>
    <row r="183" spans="1:7">
      <c r="A183" s="3273" t="s">
        <v>29</v>
      </c>
      <c r="B183" s="3262" t="s">
        <v>3201</v>
      </c>
      <c r="C183" s="3274"/>
      <c r="D183" s="3274"/>
      <c r="E183" s="3274"/>
      <c r="F183" s="3263">
        <v>0.05</v>
      </c>
      <c r="G183" s="3280"/>
    </row>
    <row r="184" spans="1:7">
      <c r="A184" s="3273" t="s">
        <v>29</v>
      </c>
      <c r="B184" s="3262" t="s">
        <v>3202</v>
      </c>
      <c r="C184" s="3274"/>
      <c r="D184" s="3274"/>
      <c r="E184" s="3274"/>
      <c r="F184" s="3263">
        <v>0.05</v>
      </c>
      <c r="G184" s="3280"/>
    </row>
    <row r="185" spans="1:7">
      <c r="A185" s="3273" t="s">
        <v>29</v>
      </c>
      <c r="B185" s="3262" t="s">
        <v>3203</v>
      </c>
      <c r="C185" s="3274"/>
      <c r="D185" s="3274"/>
      <c r="E185" s="3274"/>
      <c r="F185" s="3263">
        <v>0.05</v>
      </c>
      <c r="G185" s="3280"/>
    </row>
    <row r="186" spans="1:7">
      <c r="A186" s="3273" t="s">
        <v>29</v>
      </c>
      <c r="B186" s="3262" t="s">
        <v>3204</v>
      </c>
      <c r="C186" s="3274"/>
      <c r="D186" s="3274"/>
      <c r="E186" s="3274"/>
      <c r="F186" s="3263">
        <v>0.05</v>
      </c>
      <c r="G186" s="3280"/>
    </row>
    <row r="187" spans="1:7">
      <c r="A187" s="3273" t="s">
        <v>29</v>
      </c>
      <c r="B187" s="3262" t="s">
        <v>3205</v>
      </c>
      <c r="C187" s="3274"/>
      <c r="D187" s="3274"/>
      <c r="E187" s="3274"/>
      <c r="F187" s="3263">
        <v>0.05</v>
      </c>
      <c r="G187" s="3280"/>
    </row>
    <row r="188" spans="1:7">
      <c r="A188" s="3273" t="s">
        <v>29</v>
      </c>
      <c r="B188" s="3262" t="s">
        <v>3206</v>
      </c>
      <c r="C188" s="3274"/>
      <c r="D188" s="3274"/>
      <c r="E188" s="3274"/>
      <c r="F188" s="3263">
        <v>0.05</v>
      </c>
      <c r="G188" s="3280"/>
    </row>
    <row r="189" spans="1:7" ht="14.25" thickBot="1">
      <c r="A189" s="3276" t="s">
        <v>29</v>
      </c>
      <c r="B189" s="3266" t="s">
        <v>3207</v>
      </c>
      <c r="C189" s="3268"/>
      <c r="D189" s="3268"/>
      <c r="E189" s="3268"/>
      <c r="F189" s="3267">
        <v>0.05</v>
      </c>
      <c r="G189" s="3281"/>
    </row>
    <row r="190" spans="1:7">
      <c r="A190" s="3272" t="s">
        <v>304</v>
      </c>
      <c r="B190" s="3258" t="s">
        <v>2863</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2899</v>
      </c>
      <c r="C199" s="3263">
        <v>0.13</v>
      </c>
      <c r="D199" s="3263">
        <v>0.13</v>
      </c>
      <c r="E199" s="3263">
        <v>0.13</v>
      </c>
      <c r="F199" s="3263">
        <v>0.13</v>
      </c>
      <c r="G199" s="3264">
        <v>0.13</v>
      </c>
    </row>
    <row r="200" spans="1:7">
      <c r="A200" s="3273" t="s">
        <v>304</v>
      </c>
      <c r="B200" s="3262" t="s">
        <v>2902</v>
      </c>
      <c r="C200" s="3279"/>
      <c r="D200" s="3279"/>
      <c r="E200" s="3279"/>
      <c r="F200" s="3263">
        <v>0.13</v>
      </c>
      <c r="G200" s="3275"/>
    </row>
    <row r="201" spans="1:7">
      <c r="A201" s="3273" t="s">
        <v>304</v>
      </c>
      <c r="B201" s="3262" t="s">
        <v>2907</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2910</v>
      </c>
      <c r="C203" s="3263">
        <v>0.129</v>
      </c>
      <c r="D203" s="3263">
        <v>0.129</v>
      </c>
      <c r="E203" s="3263">
        <v>0.13</v>
      </c>
      <c r="F203" s="3263">
        <v>0.13</v>
      </c>
      <c r="G203" s="3264">
        <v>0.13</v>
      </c>
    </row>
    <row r="204" spans="1:7">
      <c r="A204" s="3273" t="s">
        <v>304</v>
      </c>
      <c r="B204" s="3262" t="s">
        <v>2913</v>
      </c>
      <c r="C204" s="3263">
        <v>0.129</v>
      </c>
      <c r="D204" s="3263">
        <v>0.129</v>
      </c>
      <c r="E204" s="3263">
        <v>0.123</v>
      </c>
      <c r="F204" s="3263">
        <v>0.13</v>
      </c>
      <c r="G204" s="3264">
        <v>0.13</v>
      </c>
    </row>
    <row r="205" spans="1:7">
      <c r="A205" s="3273" t="s">
        <v>304</v>
      </c>
      <c r="B205" s="3262" t="s">
        <v>2915</v>
      </c>
      <c r="C205" s="3263">
        <v>0.13</v>
      </c>
      <c r="D205" s="3263">
        <v>0.13</v>
      </c>
      <c r="E205" s="3263">
        <v>0.13</v>
      </c>
      <c r="F205" s="3263">
        <v>0.13</v>
      </c>
      <c r="G205" s="3264">
        <v>0.13</v>
      </c>
    </row>
    <row r="206" spans="1:7">
      <c r="A206" s="3273" t="s">
        <v>304</v>
      </c>
      <c r="B206" s="3262" t="s">
        <v>2918</v>
      </c>
      <c r="C206" s="3263">
        <v>0.13</v>
      </c>
      <c r="D206" s="3263">
        <v>0.13</v>
      </c>
      <c r="E206" s="3263">
        <v>0.13</v>
      </c>
      <c r="F206" s="3263">
        <v>0.128</v>
      </c>
      <c r="G206" s="3264">
        <v>0.13</v>
      </c>
    </row>
    <row r="207" spans="1:7">
      <c r="A207" s="3273" t="s">
        <v>304</v>
      </c>
      <c r="B207" s="3262" t="s">
        <v>2920</v>
      </c>
      <c r="C207" s="3263">
        <v>0.13</v>
      </c>
      <c r="D207" s="3263">
        <v>0.13</v>
      </c>
      <c r="E207" s="3263">
        <v>0.13</v>
      </c>
      <c r="F207" s="3263">
        <v>0.13</v>
      </c>
      <c r="G207" s="3264">
        <v>0.13</v>
      </c>
    </row>
    <row r="208" spans="1:7">
      <c r="A208" s="3273" t="s">
        <v>304</v>
      </c>
      <c r="B208" s="3262" t="s">
        <v>2923</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2930</v>
      </c>
      <c r="C210" s="3263">
        <v>0.121</v>
      </c>
      <c r="D210" s="3263">
        <v>0.121</v>
      </c>
      <c r="E210" s="3263">
        <v>0.125</v>
      </c>
      <c r="F210" s="3263">
        <v>0.13</v>
      </c>
      <c r="G210" s="3264">
        <v>0.123</v>
      </c>
    </row>
    <row r="211" spans="1:7">
      <c r="A211" s="3273" t="s">
        <v>304</v>
      </c>
      <c r="B211" s="3262" t="s">
        <v>2933</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2945</v>
      </c>
      <c r="C214" s="3263">
        <v>0.128</v>
      </c>
      <c r="D214" s="3263">
        <v>0.128</v>
      </c>
      <c r="E214" s="3263">
        <v>0.13</v>
      </c>
      <c r="F214" s="3263">
        <v>0.13</v>
      </c>
      <c r="G214" s="3264">
        <v>0.13</v>
      </c>
    </row>
    <row r="215" spans="1:7">
      <c r="A215" s="3273" t="s">
        <v>304</v>
      </c>
      <c r="B215" s="3262" t="s">
        <v>2949</v>
      </c>
      <c r="C215" s="3263">
        <v>0.13</v>
      </c>
      <c r="D215" s="3263">
        <v>0.13</v>
      </c>
      <c r="E215" s="3263">
        <v>0.13</v>
      </c>
      <c r="F215" s="3263">
        <v>0.129</v>
      </c>
      <c r="G215" s="3264">
        <v>0.13</v>
      </c>
    </row>
    <row r="216" spans="1:7">
      <c r="A216" s="3273" t="s">
        <v>304</v>
      </c>
      <c r="B216" s="3262" t="s">
        <v>2956</v>
      </c>
      <c r="C216" s="3263">
        <v>0.13</v>
      </c>
      <c r="D216" s="3263">
        <v>0.13</v>
      </c>
      <c r="E216" s="3263">
        <v>0.13</v>
      </c>
      <c r="F216" s="3263">
        <v>0.13</v>
      </c>
      <c r="G216" s="3264">
        <v>0.13</v>
      </c>
    </row>
    <row r="217" spans="1:7">
      <c r="A217" s="3273" t="s">
        <v>304</v>
      </c>
      <c r="B217" s="3262" t="s">
        <v>2963</v>
      </c>
      <c r="C217" s="3263">
        <v>0.129</v>
      </c>
      <c r="D217" s="3263">
        <v>0.129</v>
      </c>
      <c r="E217" s="3263">
        <v>0.13</v>
      </c>
      <c r="F217" s="3263">
        <v>0.13</v>
      </c>
      <c r="G217" s="3264">
        <v>0.13</v>
      </c>
    </row>
    <row r="218" spans="1:7">
      <c r="A218" s="3273" t="s">
        <v>304</v>
      </c>
      <c r="B218" s="3262" t="s">
        <v>2969</v>
      </c>
      <c r="C218" s="3274"/>
      <c r="D218" s="3274"/>
      <c r="E218" s="3274"/>
      <c r="F218" s="3263">
        <v>0.05</v>
      </c>
      <c r="G218" s="3280"/>
    </row>
    <row r="219" spans="1:7">
      <c r="A219" s="3273" t="s">
        <v>304</v>
      </c>
      <c r="B219" s="3262" t="s">
        <v>2976</v>
      </c>
      <c r="C219" s="3274"/>
      <c r="D219" s="3274"/>
      <c r="E219" s="3274"/>
      <c r="F219" s="3263">
        <v>0.05</v>
      </c>
      <c r="G219" s="3280"/>
    </row>
    <row r="220" spans="1:7">
      <c r="A220" s="3273" t="s">
        <v>304</v>
      </c>
      <c r="B220" s="3262" t="s">
        <v>2982</v>
      </c>
      <c r="C220" s="3274"/>
      <c r="D220" s="3274"/>
      <c r="E220" s="3274"/>
      <c r="F220" s="3263">
        <v>0.05</v>
      </c>
      <c r="G220" s="3280"/>
    </row>
    <row r="221" spans="1:7">
      <c r="A221" s="3273" t="s">
        <v>304</v>
      </c>
      <c r="B221" s="3262" t="s">
        <v>2987</v>
      </c>
      <c r="C221" s="3274"/>
      <c r="D221" s="3274"/>
      <c r="E221" s="3274"/>
      <c r="F221" s="3263">
        <v>0.05</v>
      </c>
      <c r="G221" s="3280"/>
    </row>
    <row r="222" spans="1:7">
      <c r="A222" s="3273" t="s">
        <v>304</v>
      </c>
      <c r="B222" s="3262" t="s">
        <v>2991</v>
      </c>
      <c r="C222" s="3274"/>
      <c r="D222" s="3274"/>
      <c r="E222" s="3274"/>
      <c r="F222" s="3263">
        <v>0.05</v>
      </c>
      <c r="G222" s="3280"/>
    </row>
    <row r="223" spans="1:7">
      <c r="A223" s="3273" t="s">
        <v>304</v>
      </c>
      <c r="B223" s="3262" t="s">
        <v>2996</v>
      </c>
      <c r="C223" s="3274"/>
      <c r="D223" s="3274"/>
      <c r="E223" s="3274"/>
      <c r="F223" s="3263">
        <v>0.05</v>
      </c>
      <c r="G223" s="3280"/>
    </row>
    <row r="224" spans="1:7">
      <c r="A224" s="3273" t="s">
        <v>304</v>
      </c>
      <c r="B224" s="3262" t="s">
        <v>3001</v>
      </c>
      <c r="C224" s="3274"/>
      <c r="D224" s="3274"/>
      <c r="E224" s="3274"/>
      <c r="F224" s="3263">
        <v>0.05</v>
      </c>
      <c r="G224" s="3280"/>
    </row>
    <row r="225" spans="1:7">
      <c r="A225" s="3273" t="s">
        <v>304</v>
      </c>
      <c r="B225" s="3262" t="s">
        <v>3006</v>
      </c>
      <c r="C225" s="3274"/>
      <c r="D225" s="3274"/>
      <c r="E225" s="3274"/>
      <c r="F225" s="3263">
        <v>0.05</v>
      </c>
      <c r="G225" s="3280"/>
    </row>
    <row r="226" spans="1:7">
      <c r="A226" s="3273" t="s">
        <v>304</v>
      </c>
      <c r="B226" s="3262" t="s">
        <v>3208</v>
      </c>
      <c r="C226" s="3274"/>
      <c r="D226" s="3274"/>
      <c r="E226" s="3274"/>
      <c r="F226" s="3263">
        <v>0.05</v>
      </c>
      <c r="G226" s="3280"/>
    </row>
    <row r="227" spans="1:7">
      <c r="A227" s="3273" t="s">
        <v>304</v>
      </c>
      <c r="B227" s="3262" t="s">
        <v>3209</v>
      </c>
      <c r="C227" s="3274"/>
      <c r="D227" s="3274"/>
      <c r="E227" s="3274"/>
      <c r="F227" s="3263">
        <v>0.05</v>
      </c>
      <c r="G227" s="3280"/>
    </row>
    <row r="228" spans="1:7">
      <c r="A228" s="3273" t="s">
        <v>304</v>
      </c>
      <c r="B228" s="3262" t="s">
        <v>3210</v>
      </c>
      <c r="C228" s="3274"/>
      <c r="D228" s="3274"/>
      <c r="E228" s="3274"/>
      <c r="F228" s="3263">
        <v>0.05</v>
      </c>
      <c r="G228" s="3280"/>
    </row>
    <row r="229" spans="1:7">
      <c r="A229" s="3273" t="s">
        <v>304</v>
      </c>
      <c r="B229" s="3262" t="s">
        <v>3211</v>
      </c>
      <c r="C229" s="3274"/>
      <c r="D229" s="3274"/>
      <c r="E229" s="3274"/>
      <c r="F229" s="3263">
        <v>0.05</v>
      </c>
      <c r="G229" s="3280"/>
    </row>
    <row r="230" spans="1:7">
      <c r="A230" s="3273" t="s">
        <v>304</v>
      </c>
      <c r="B230" s="3262" t="s">
        <v>3212</v>
      </c>
      <c r="C230" s="3274"/>
      <c r="D230" s="3274"/>
      <c r="E230" s="3274"/>
      <c r="F230" s="3263">
        <v>0.05</v>
      </c>
      <c r="G230" s="3280"/>
    </row>
    <row r="231" spans="1:7">
      <c r="A231" s="3273" t="s">
        <v>304</v>
      </c>
      <c r="B231" s="3262" t="s">
        <v>3213</v>
      </c>
      <c r="C231" s="3274"/>
      <c r="D231" s="3274"/>
      <c r="E231" s="3274"/>
      <c r="F231" s="3263">
        <v>0.05</v>
      </c>
      <c r="G231" s="3280"/>
    </row>
    <row r="232" spans="1:7">
      <c r="A232" s="3273" t="s">
        <v>304</v>
      </c>
      <c r="B232" s="3262" t="s">
        <v>3214</v>
      </c>
      <c r="C232" s="3274"/>
      <c r="D232" s="3274"/>
      <c r="E232" s="3274"/>
      <c r="F232" s="3263">
        <v>0.05</v>
      </c>
      <c r="G232" s="3280"/>
    </row>
    <row r="233" spans="1:7" ht="14.25" thickBot="1">
      <c r="A233" s="3276" t="s">
        <v>304</v>
      </c>
      <c r="B233" s="3266" t="s">
        <v>3215</v>
      </c>
      <c r="C233" s="3268"/>
      <c r="D233" s="3268"/>
      <c r="E233" s="3268"/>
      <c r="F233" s="3267">
        <v>0.05</v>
      </c>
      <c r="G233" s="3281"/>
    </row>
    <row r="234" spans="1:7">
      <c r="A234" s="3272" t="s">
        <v>305</v>
      </c>
      <c r="B234" s="3258" t="s">
        <v>2864</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2884</v>
      </c>
      <c r="C238" s="3263">
        <v>0.14899999999999999</v>
      </c>
      <c r="D238" s="3263">
        <v>0.14899999999999999</v>
      </c>
      <c r="E238" s="3263">
        <v>0.15</v>
      </c>
      <c r="F238" s="3263">
        <v>0.15</v>
      </c>
      <c r="G238" s="3264">
        <v>0.15</v>
      </c>
    </row>
    <row r="239" spans="1:7">
      <c r="A239" s="3273" t="s">
        <v>305</v>
      </c>
      <c r="B239" s="3262" t="s">
        <v>2888</v>
      </c>
      <c r="C239" s="3263">
        <v>0.15</v>
      </c>
      <c r="D239" s="3263">
        <v>0.15</v>
      </c>
      <c r="E239" s="3263">
        <v>0.15</v>
      </c>
      <c r="F239" s="3263">
        <v>0.15</v>
      </c>
      <c r="G239" s="3264">
        <v>0.15</v>
      </c>
    </row>
    <row r="240" spans="1:7">
      <c r="A240" s="3273" t="s">
        <v>305</v>
      </c>
      <c r="B240" s="3262" t="s">
        <v>2893</v>
      </c>
      <c r="C240" s="3263">
        <v>0.15</v>
      </c>
      <c r="D240" s="3263">
        <v>0.15</v>
      </c>
      <c r="E240" s="3263">
        <v>0.15</v>
      </c>
      <c r="F240" s="3263">
        <v>0.15</v>
      </c>
      <c r="G240" s="3264">
        <v>0.15</v>
      </c>
    </row>
    <row r="241" spans="1:7">
      <c r="A241" s="3273" t="s">
        <v>305</v>
      </c>
      <c r="B241" s="3262" t="s">
        <v>2897</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2903</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2911</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2916</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2924</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2937</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2946</v>
      </c>
      <c r="C258" s="3263">
        <v>0.14299999999999999</v>
      </c>
      <c r="D258" s="3263">
        <v>0.14299999999999999</v>
      </c>
      <c r="E258" s="3263">
        <v>0.15</v>
      </c>
      <c r="F258" s="3263">
        <v>0.14799999999999999</v>
      </c>
      <c r="G258" s="3264">
        <v>0.14599999999999999</v>
      </c>
    </row>
    <row r="259" spans="1:7">
      <c r="A259" s="3273" t="s">
        <v>305</v>
      </c>
      <c r="B259" s="3262" t="s">
        <v>2950</v>
      </c>
      <c r="C259" s="3263">
        <v>0.14399999999999999</v>
      </c>
      <c r="D259" s="3263">
        <v>0.14399999999999999</v>
      </c>
      <c r="E259" s="3263">
        <v>0.14899999999999999</v>
      </c>
      <c r="F259" s="3263">
        <v>0.14699999999999999</v>
      </c>
      <c r="G259" s="3264">
        <v>0.14599999999999999</v>
      </c>
    </row>
    <row r="260" spans="1:7">
      <c r="A260" s="3273" t="s">
        <v>305</v>
      </c>
      <c r="B260" s="3262" t="s">
        <v>2957</v>
      </c>
      <c r="C260" s="3263">
        <v>0.109</v>
      </c>
      <c r="D260" s="3263">
        <v>0.111</v>
      </c>
      <c r="E260" s="3263">
        <v>0.13100000000000001</v>
      </c>
      <c r="F260" s="3263">
        <v>0.126</v>
      </c>
      <c r="G260" s="3264">
        <v>0.11899999999999999</v>
      </c>
    </row>
    <row r="261" spans="1:7">
      <c r="A261" s="3273" t="s">
        <v>305</v>
      </c>
      <c r="B261" s="3262" t="s">
        <v>2964</v>
      </c>
      <c r="C261" s="3263">
        <v>0.1</v>
      </c>
      <c r="D261" s="3263">
        <v>0.1</v>
      </c>
      <c r="E261" s="3263">
        <v>0.11799999999999999</v>
      </c>
      <c r="F261" s="3263">
        <v>0.108</v>
      </c>
      <c r="G261" s="3264">
        <v>0.107</v>
      </c>
    </row>
    <row r="262" spans="1:7">
      <c r="A262" s="3273" t="s">
        <v>305</v>
      </c>
      <c r="B262" s="3262" t="s">
        <v>2970</v>
      </c>
      <c r="C262" s="3263">
        <v>0.1</v>
      </c>
      <c r="D262" s="3263">
        <v>0.1</v>
      </c>
      <c r="E262" s="3263">
        <v>0.1</v>
      </c>
      <c r="F262" s="3263">
        <v>0.14099999999999999</v>
      </c>
      <c r="G262" s="3264">
        <v>0.1</v>
      </c>
    </row>
    <row r="263" spans="1:7">
      <c r="A263" s="3273" t="s">
        <v>305</v>
      </c>
      <c r="B263" s="3262" t="s">
        <v>2977</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2988</v>
      </c>
      <c r="C265" s="3274"/>
      <c r="D265" s="3274"/>
      <c r="E265" s="3274"/>
      <c r="F265" s="3263">
        <v>0.05</v>
      </c>
      <c r="G265" s="3280"/>
    </row>
    <row r="266" spans="1:7">
      <c r="A266" s="3273" t="s">
        <v>305</v>
      </c>
      <c r="B266" s="3262" t="s">
        <v>2992</v>
      </c>
      <c r="C266" s="3274"/>
      <c r="D266" s="3274"/>
      <c r="E266" s="3274"/>
      <c r="F266" s="3263">
        <v>0.05</v>
      </c>
      <c r="G266" s="3280"/>
    </row>
    <row r="267" spans="1:7">
      <c r="A267" s="3273" t="s">
        <v>305</v>
      </c>
      <c r="B267" s="3262" t="s">
        <v>2997</v>
      </c>
      <c r="C267" s="3274"/>
      <c r="D267" s="3274"/>
      <c r="E267" s="3274"/>
      <c r="F267" s="3263">
        <v>0.05</v>
      </c>
      <c r="G267" s="3280"/>
    </row>
    <row r="268" spans="1:7">
      <c r="A268" s="3273" t="s">
        <v>305</v>
      </c>
      <c r="B268" s="3262" t="s">
        <v>3002</v>
      </c>
      <c r="C268" s="3274"/>
      <c r="D268" s="3274"/>
      <c r="E268" s="3274"/>
      <c r="F268" s="3263">
        <v>0.05</v>
      </c>
      <c r="G268" s="3280"/>
    </row>
    <row r="269" spans="1:7">
      <c r="A269" s="3273" t="s">
        <v>305</v>
      </c>
      <c r="B269" s="3262" t="s">
        <v>3007</v>
      </c>
      <c r="C269" s="3274"/>
      <c r="D269" s="3274"/>
      <c r="E269" s="3274"/>
      <c r="F269" s="3263">
        <v>0.05</v>
      </c>
      <c r="G269" s="3280"/>
    </row>
    <row r="270" spans="1:7">
      <c r="A270" s="3273" t="s">
        <v>305</v>
      </c>
      <c r="B270" s="3262" t="s">
        <v>3012</v>
      </c>
      <c r="C270" s="3274"/>
      <c r="D270" s="3274"/>
      <c r="E270" s="3274"/>
      <c r="F270" s="3263">
        <v>0.05</v>
      </c>
      <c r="G270" s="3280"/>
    </row>
    <row r="271" spans="1:7">
      <c r="A271" s="3273" t="s">
        <v>305</v>
      </c>
      <c r="B271" s="3262" t="s">
        <v>3216</v>
      </c>
      <c r="C271" s="3274"/>
      <c r="D271" s="3274"/>
      <c r="E271" s="3274"/>
      <c r="F271" s="3263">
        <v>0.05</v>
      </c>
      <c r="G271" s="3280"/>
    </row>
    <row r="272" spans="1:7">
      <c r="A272" s="3273" t="s">
        <v>305</v>
      </c>
      <c r="B272" s="3262" t="s">
        <v>3217</v>
      </c>
      <c r="C272" s="3274"/>
      <c r="D272" s="3274"/>
      <c r="E272" s="3274"/>
      <c r="F272" s="3263">
        <v>0.05</v>
      </c>
      <c r="G272" s="3280"/>
    </row>
    <row r="273" spans="1:7">
      <c r="A273" s="3273" t="s">
        <v>305</v>
      </c>
      <c r="B273" s="3262" t="s">
        <v>3218</v>
      </c>
      <c r="C273" s="3274"/>
      <c r="D273" s="3274"/>
      <c r="E273" s="3274"/>
      <c r="F273" s="3263">
        <v>0.05</v>
      </c>
      <c r="G273" s="3280"/>
    </row>
    <row r="274" spans="1:7">
      <c r="A274" s="3273" t="s">
        <v>305</v>
      </c>
      <c r="B274" s="3262" t="s">
        <v>3219</v>
      </c>
      <c r="C274" s="3274"/>
      <c r="D274" s="3274"/>
      <c r="E274" s="3274"/>
      <c r="F274" s="3263">
        <v>0.05</v>
      </c>
      <c r="G274" s="3280"/>
    </row>
    <row r="275" spans="1:7">
      <c r="A275" s="3273" t="s">
        <v>305</v>
      </c>
      <c r="B275" s="3262" t="s">
        <v>3220</v>
      </c>
      <c r="C275" s="3274"/>
      <c r="D275" s="3274"/>
      <c r="E275" s="3274"/>
      <c r="F275" s="3263">
        <v>0.05</v>
      </c>
      <c r="G275" s="3280"/>
    </row>
    <row r="276" spans="1:7" ht="14.25" thickBot="1">
      <c r="A276" s="3276" t="s">
        <v>305</v>
      </c>
      <c r="B276" s="3266" t="s">
        <v>3221</v>
      </c>
      <c r="C276" s="3268"/>
      <c r="D276" s="3268"/>
      <c r="E276" s="3268"/>
      <c r="F276" s="3267">
        <v>0.05</v>
      </c>
      <c r="G276" s="3281"/>
    </row>
    <row r="277" spans="1:7">
      <c r="A277" s="3272" t="s">
        <v>306</v>
      </c>
      <c r="B277" s="3258" t="s">
        <v>2865</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2877</v>
      </c>
      <c r="C279" s="3263">
        <v>0.15</v>
      </c>
      <c r="D279" s="3263">
        <v>0.15</v>
      </c>
      <c r="E279" s="3263">
        <v>0.15</v>
      </c>
      <c r="F279" s="3263">
        <v>0.15</v>
      </c>
      <c r="G279" s="3264">
        <v>0.15</v>
      </c>
    </row>
    <row r="280" spans="1:7">
      <c r="A280" s="3273" t="s">
        <v>306</v>
      </c>
      <c r="B280" s="3262" t="s">
        <v>2881</v>
      </c>
      <c r="C280" s="3263">
        <v>0.15</v>
      </c>
      <c r="D280" s="3263">
        <v>0.15</v>
      </c>
      <c r="E280" s="3263">
        <v>0.15</v>
      </c>
      <c r="F280" s="3263">
        <v>0.15</v>
      </c>
      <c r="G280" s="3264">
        <v>0.15</v>
      </c>
    </row>
    <row r="281" spans="1:7">
      <c r="A281" s="3273" t="s">
        <v>306</v>
      </c>
      <c r="B281" s="3262" t="s">
        <v>2885</v>
      </c>
      <c r="C281" s="3263">
        <v>0.15</v>
      </c>
      <c r="D281" s="3263">
        <v>0.15</v>
      </c>
      <c r="E281" s="3263">
        <v>0.15</v>
      </c>
      <c r="F281" s="3263">
        <v>0.15</v>
      </c>
      <c r="G281" s="3264">
        <v>0.15</v>
      </c>
    </row>
    <row r="282" spans="1:7">
      <c r="A282" s="3273" t="s">
        <v>306</v>
      </c>
      <c r="B282" s="3262" t="s">
        <v>2889</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2904</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2909</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2919</v>
      </c>
      <c r="C293" s="3263">
        <v>0.15</v>
      </c>
      <c r="D293" s="3263">
        <v>0.15</v>
      </c>
      <c r="E293" s="3263">
        <v>0.15</v>
      </c>
      <c r="F293" s="3263">
        <v>0.14499999999999999</v>
      </c>
      <c r="G293" s="3264">
        <v>0.15</v>
      </c>
    </row>
    <row r="294" spans="1:7">
      <c r="A294" s="3273" t="s">
        <v>306</v>
      </c>
      <c r="B294" s="3262" t="s">
        <v>2921</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2938</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2951</v>
      </c>
      <c r="C302" s="3263">
        <v>0.15</v>
      </c>
      <c r="D302" s="3263">
        <v>0.15</v>
      </c>
      <c r="E302" s="3263">
        <v>0.15</v>
      </c>
      <c r="F302" s="3263">
        <v>0.14699999999999999</v>
      </c>
      <c r="G302" s="3264">
        <v>0.15</v>
      </c>
    </row>
    <row r="303" spans="1:7">
      <c r="A303" s="3273" t="s">
        <v>306</v>
      </c>
      <c r="B303" s="3262" t="s">
        <v>2958</v>
      </c>
      <c r="C303" s="3263">
        <v>0.15</v>
      </c>
      <c r="D303" s="3263">
        <v>0.15</v>
      </c>
      <c r="E303" s="3263">
        <v>0.15</v>
      </c>
      <c r="F303" s="3263">
        <v>0.14199999999999999</v>
      </c>
      <c r="G303" s="3264">
        <v>0.15</v>
      </c>
    </row>
    <row r="304" spans="1:7">
      <c r="A304" s="3273" t="s">
        <v>306</v>
      </c>
      <c r="B304" s="3262" t="s">
        <v>2965</v>
      </c>
      <c r="C304" s="3263">
        <v>0.15</v>
      </c>
      <c r="D304" s="3263">
        <v>0.15</v>
      </c>
      <c r="E304" s="3263">
        <v>0.15</v>
      </c>
      <c r="F304" s="3263">
        <v>0.14499999999999999</v>
      </c>
      <c r="G304" s="3264">
        <v>0.15</v>
      </c>
    </row>
    <row r="305" spans="1:7">
      <c r="A305" s="3273" t="s">
        <v>306</v>
      </c>
      <c r="B305" s="3262" t="s">
        <v>2971</v>
      </c>
      <c r="C305" s="3263">
        <v>0.15</v>
      </c>
      <c r="D305" s="3263">
        <v>0.15</v>
      </c>
      <c r="E305" s="3263">
        <v>0.15</v>
      </c>
      <c r="F305" s="3263">
        <v>0.111</v>
      </c>
      <c r="G305" s="3264">
        <v>0.15</v>
      </c>
    </row>
    <row r="306" spans="1:7">
      <c r="A306" s="3273" t="s">
        <v>306</v>
      </c>
      <c r="B306" s="3262" t="s">
        <v>2978</v>
      </c>
      <c r="C306" s="3263">
        <v>0.15</v>
      </c>
      <c r="D306" s="3263">
        <v>0.15</v>
      </c>
      <c r="E306" s="3263">
        <v>0.15</v>
      </c>
      <c r="F306" s="3263">
        <v>0.126</v>
      </c>
      <c r="G306" s="3264">
        <v>0.15</v>
      </c>
    </row>
    <row r="307" spans="1:7">
      <c r="A307" s="3273" t="s">
        <v>306</v>
      </c>
      <c r="B307" s="3262" t="s">
        <v>2983</v>
      </c>
      <c r="C307" s="3263">
        <v>0.15</v>
      </c>
      <c r="D307" s="3263">
        <v>0.15</v>
      </c>
      <c r="E307" s="3263">
        <v>0.15</v>
      </c>
      <c r="F307" s="3263">
        <v>0.12</v>
      </c>
      <c r="G307" s="3264">
        <v>0.15</v>
      </c>
    </row>
    <row r="308" spans="1:7">
      <c r="A308" s="3273" t="s">
        <v>306</v>
      </c>
      <c r="B308" s="3262" t="s">
        <v>2989</v>
      </c>
      <c r="C308" s="3263">
        <v>0.15</v>
      </c>
      <c r="D308" s="3263">
        <v>0.15</v>
      </c>
      <c r="E308" s="3263">
        <v>0.15</v>
      </c>
      <c r="F308" s="3263">
        <v>0.13</v>
      </c>
      <c r="G308" s="3264">
        <v>0.15</v>
      </c>
    </row>
    <row r="309" spans="1:7">
      <c r="A309" s="3273" t="s">
        <v>306</v>
      </c>
      <c r="B309" s="3262" t="s">
        <v>2993</v>
      </c>
      <c r="C309" s="3263">
        <v>0.15</v>
      </c>
      <c r="D309" s="3263">
        <v>0.15</v>
      </c>
      <c r="E309" s="3263">
        <v>0.15</v>
      </c>
      <c r="F309" s="3263">
        <v>0.14099999999999999</v>
      </c>
      <c r="G309" s="3264">
        <v>0.15</v>
      </c>
    </row>
    <row r="310" spans="1:7">
      <c r="A310" s="3273" t="s">
        <v>306</v>
      </c>
      <c r="B310" s="3262" t="s">
        <v>2998</v>
      </c>
      <c r="C310" s="3263">
        <v>0.15</v>
      </c>
      <c r="D310" s="3263">
        <v>0.15</v>
      </c>
      <c r="E310" s="3263">
        <v>0.15</v>
      </c>
      <c r="F310" s="3263">
        <v>0.15</v>
      </c>
      <c r="G310" s="3264">
        <v>0.15</v>
      </c>
    </row>
    <row r="311" spans="1:7">
      <c r="A311" s="3273" t="s">
        <v>306</v>
      </c>
      <c r="B311" s="3262" t="s">
        <v>3003</v>
      </c>
      <c r="C311" s="3263">
        <v>0.13200000000000001</v>
      </c>
      <c r="D311" s="3263">
        <v>0.13300000000000001</v>
      </c>
      <c r="E311" s="3263">
        <v>0.14499999999999999</v>
      </c>
      <c r="F311" s="3263">
        <v>0.14199999999999999</v>
      </c>
      <c r="G311" s="3264">
        <v>0.14000000000000001</v>
      </c>
    </row>
    <row r="312" spans="1:7">
      <c r="A312" s="3273" t="s">
        <v>306</v>
      </c>
      <c r="B312" s="3262" t="s">
        <v>3008</v>
      </c>
      <c r="C312" s="3263">
        <v>0.13800000000000001</v>
      </c>
      <c r="D312" s="3263">
        <v>0.14000000000000001</v>
      </c>
      <c r="E312" s="3263">
        <v>0.14599999999999999</v>
      </c>
      <c r="F312" s="3263">
        <v>0.14899999999999999</v>
      </c>
      <c r="G312" s="3264">
        <v>0.14199999999999999</v>
      </c>
    </row>
    <row r="313" spans="1:7">
      <c r="A313" s="3273" t="s">
        <v>306</v>
      </c>
      <c r="B313" s="3262" t="s">
        <v>3013</v>
      </c>
      <c r="C313" s="3263">
        <v>0.125</v>
      </c>
      <c r="D313" s="3263">
        <v>0.127</v>
      </c>
      <c r="E313" s="3263">
        <v>0.14399999999999999</v>
      </c>
      <c r="F313" s="3263">
        <v>0.115</v>
      </c>
      <c r="G313" s="3264">
        <v>0.13600000000000001</v>
      </c>
    </row>
    <row r="314" spans="1:7">
      <c r="A314" s="3273" t="s">
        <v>306</v>
      </c>
      <c r="B314" s="3262" t="s">
        <v>3222</v>
      </c>
      <c r="C314" s="3279"/>
      <c r="D314" s="3279"/>
      <c r="E314" s="3279"/>
      <c r="F314" s="3263">
        <v>0.05</v>
      </c>
      <c r="G314" s="3280"/>
    </row>
    <row r="315" spans="1:7">
      <c r="A315" s="3273" t="s">
        <v>306</v>
      </c>
      <c r="B315" s="3262" t="s">
        <v>3223</v>
      </c>
      <c r="C315" s="3279"/>
      <c r="D315" s="3279"/>
      <c r="E315" s="3279"/>
      <c r="F315" s="3263">
        <v>0.05</v>
      </c>
      <c r="G315" s="3280"/>
    </row>
    <row r="316" spans="1:7">
      <c r="A316" s="3273" t="s">
        <v>306</v>
      </c>
      <c r="B316" s="3262" t="s">
        <v>3224</v>
      </c>
      <c r="C316" s="3274"/>
      <c r="D316" s="3274"/>
      <c r="E316" s="3274"/>
      <c r="F316" s="3263">
        <v>0.05</v>
      </c>
      <c r="G316" s="3280"/>
    </row>
    <row r="317" spans="1:7">
      <c r="A317" s="3273" t="s">
        <v>306</v>
      </c>
      <c r="B317" s="3262" t="s">
        <v>3225</v>
      </c>
      <c r="C317" s="3274"/>
      <c r="D317" s="3274"/>
      <c r="E317" s="3274"/>
      <c r="F317" s="3263">
        <v>0.05</v>
      </c>
      <c r="G317" s="3280"/>
    </row>
    <row r="318" spans="1:7">
      <c r="A318" s="3273" t="s">
        <v>306</v>
      </c>
      <c r="B318" s="3262" t="s">
        <v>3226</v>
      </c>
      <c r="C318" s="3274"/>
      <c r="D318" s="3274"/>
      <c r="E318" s="3274"/>
      <c r="F318" s="3263">
        <v>0.05</v>
      </c>
      <c r="G318" s="3280"/>
    </row>
    <row r="319" spans="1:7">
      <c r="A319" s="3273" t="s">
        <v>306</v>
      </c>
      <c r="B319" s="3262" t="s">
        <v>3227</v>
      </c>
      <c r="C319" s="3274"/>
      <c r="D319" s="3274"/>
      <c r="E319" s="3274"/>
      <c r="F319" s="3263">
        <v>0.05</v>
      </c>
      <c r="G319" s="3280"/>
    </row>
    <row r="320" spans="1:7">
      <c r="A320" s="3273" t="s">
        <v>306</v>
      </c>
      <c r="B320" s="3262" t="s">
        <v>3228</v>
      </c>
      <c r="C320" s="3274"/>
      <c r="D320" s="3274"/>
      <c r="E320" s="3274"/>
      <c r="F320" s="3263">
        <v>0.05</v>
      </c>
      <c r="G320" s="3280"/>
    </row>
    <row r="321" spans="1:7">
      <c r="A321" s="3273" t="s">
        <v>306</v>
      </c>
      <c r="B321" s="3262" t="s">
        <v>3229</v>
      </c>
      <c r="C321" s="3274"/>
      <c r="D321" s="3274"/>
      <c r="E321" s="3274"/>
      <c r="F321" s="3263">
        <v>0.05</v>
      </c>
      <c r="G321" s="3280"/>
    </row>
    <row r="322" spans="1:7">
      <c r="A322" s="3273" t="s">
        <v>306</v>
      </c>
      <c r="B322" s="3262" t="s">
        <v>3230</v>
      </c>
      <c r="C322" s="3274"/>
      <c r="D322" s="3274"/>
      <c r="E322" s="3274"/>
      <c r="F322" s="3263">
        <v>0.05</v>
      </c>
      <c r="G322" s="3280"/>
    </row>
    <row r="323" spans="1:7">
      <c r="A323" s="3273" t="s">
        <v>306</v>
      </c>
      <c r="B323" s="3262" t="s">
        <v>3231</v>
      </c>
      <c r="C323" s="3274"/>
      <c r="D323" s="3274"/>
      <c r="E323" s="3274"/>
      <c r="F323" s="3263">
        <v>0.05</v>
      </c>
      <c r="G323" s="3280"/>
    </row>
    <row r="324" spans="1:7">
      <c r="A324" s="3273" t="s">
        <v>306</v>
      </c>
      <c r="B324" s="3262" t="s">
        <v>3232</v>
      </c>
      <c r="C324" s="3274"/>
      <c r="D324" s="3274"/>
      <c r="E324" s="3274"/>
      <c r="F324" s="3263">
        <v>0.05</v>
      </c>
      <c r="G324" s="3280"/>
    </row>
    <row r="325" spans="1:7">
      <c r="A325" s="3273" t="s">
        <v>306</v>
      </c>
      <c r="B325" s="3262" t="s">
        <v>3233</v>
      </c>
      <c r="C325" s="3274"/>
      <c r="D325" s="3274"/>
      <c r="E325" s="3274"/>
      <c r="F325" s="3263">
        <v>0.05</v>
      </c>
      <c r="G325" s="3280"/>
    </row>
    <row r="326" spans="1:7" ht="14.25" thickBot="1">
      <c r="A326" s="3276" t="s">
        <v>306</v>
      </c>
      <c r="B326" s="3266" t="s">
        <v>3234</v>
      </c>
      <c r="C326" s="3268"/>
      <c r="D326" s="3268"/>
      <c r="E326" s="3268"/>
      <c r="F326" s="3267">
        <v>0.05</v>
      </c>
      <c r="G326" s="3281"/>
    </row>
    <row r="327" spans="1:7">
      <c r="A327" s="3272" t="s">
        <v>307</v>
      </c>
      <c r="B327" s="3258" t="s">
        <v>2866</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2878</v>
      </c>
      <c r="C329" s="3263">
        <v>0.15</v>
      </c>
      <c r="D329" s="3263">
        <v>0.15</v>
      </c>
      <c r="E329" s="3263">
        <v>0.15</v>
      </c>
      <c r="F329" s="3263">
        <v>0.15</v>
      </c>
      <c r="G329" s="3264">
        <v>0.15</v>
      </c>
    </row>
    <row r="330" spans="1:7">
      <c r="A330" s="3273" t="s">
        <v>307</v>
      </c>
      <c r="B330" s="3262" t="s">
        <v>2882</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2890</v>
      </c>
      <c r="C332" s="3263">
        <v>0.15</v>
      </c>
      <c r="D332" s="3263">
        <v>0.15</v>
      </c>
      <c r="E332" s="3263">
        <v>0.15</v>
      </c>
      <c r="F332" s="3263">
        <v>0.15</v>
      </c>
      <c r="G332" s="3264">
        <v>0.15</v>
      </c>
    </row>
    <row r="333" spans="1:7">
      <c r="A333" s="3273" t="s">
        <v>307</v>
      </c>
      <c r="B333" s="3262" t="s">
        <v>2894</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2900</v>
      </c>
      <c r="C336" s="3263">
        <v>0.15</v>
      </c>
      <c r="D336" s="3263">
        <v>0.15</v>
      </c>
      <c r="E336" s="3263">
        <v>0.15</v>
      </c>
      <c r="F336" s="3263">
        <v>0.14199999999999999</v>
      </c>
      <c r="G336" s="3264">
        <v>0.15</v>
      </c>
    </row>
    <row r="337" spans="1:7">
      <c r="A337" s="3273" t="s">
        <v>307</v>
      </c>
      <c r="B337" s="3262" t="s">
        <v>2905</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2912</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2917</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2925</v>
      </c>
      <c r="C345" s="3263">
        <v>0.15</v>
      </c>
      <c r="D345" s="3263">
        <v>0.15</v>
      </c>
      <c r="E345" s="3263">
        <v>0.15</v>
      </c>
      <c r="F345" s="3263">
        <v>0.13800000000000001</v>
      </c>
      <c r="G345" s="3264">
        <v>0.15</v>
      </c>
    </row>
    <row r="346" spans="1:7">
      <c r="A346" s="3273" t="s">
        <v>307</v>
      </c>
      <c r="B346" s="3262" t="s">
        <v>2927</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2934</v>
      </c>
      <c r="C348" s="3263">
        <v>0.15</v>
      </c>
      <c r="D348" s="3263">
        <v>0.15</v>
      </c>
      <c r="E348" s="3263">
        <v>0.15</v>
      </c>
      <c r="F348" s="3263">
        <v>0.14399999999999999</v>
      </c>
      <c r="G348" s="3264">
        <v>0.15</v>
      </c>
    </row>
    <row r="349" spans="1:7">
      <c r="A349" s="3273" t="s">
        <v>307</v>
      </c>
      <c r="B349" s="3262" t="s">
        <v>2939</v>
      </c>
      <c r="C349" s="3263">
        <v>0.15</v>
      </c>
      <c r="D349" s="3263">
        <v>0.15</v>
      </c>
      <c r="E349" s="3263">
        <v>0.15</v>
      </c>
      <c r="F349" s="3263">
        <v>0.15</v>
      </c>
      <c r="G349" s="3264">
        <v>0.15</v>
      </c>
    </row>
    <row r="350" spans="1:7">
      <c r="A350" s="3273" t="s">
        <v>307</v>
      </c>
      <c r="B350" s="3262" t="s">
        <v>2942</v>
      </c>
      <c r="C350" s="3263">
        <v>0.15</v>
      </c>
      <c r="D350" s="3263">
        <v>0.15</v>
      </c>
      <c r="E350" s="3263">
        <v>0.15</v>
      </c>
      <c r="F350" s="3263">
        <v>0.14699999999999999</v>
      </c>
      <c r="G350" s="3264">
        <v>0.15</v>
      </c>
    </row>
    <row r="351" spans="1:7">
      <c r="A351" s="3273" t="s">
        <v>307</v>
      </c>
      <c r="B351" s="3262" t="s">
        <v>2947</v>
      </c>
      <c r="C351" s="3263">
        <v>0.15</v>
      </c>
      <c r="D351" s="3263">
        <v>0.15</v>
      </c>
      <c r="E351" s="3263">
        <v>0.15</v>
      </c>
      <c r="F351" s="3263">
        <v>0.13</v>
      </c>
      <c r="G351" s="3264">
        <v>0.15</v>
      </c>
    </row>
    <row r="352" spans="1:7">
      <c r="A352" s="3273" t="s">
        <v>307</v>
      </c>
      <c r="B352" s="3262" t="s">
        <v>2952</v>
      </c>
      <c r="C352" s="3263">
        <v>0.15</v>
      </c>
      <c r="D352" s="3263">
        <v>0.15</v>
      </c>
      <c r="E352" s="3263">
        <v>0.15</v>
      </c>
      <c r="F352" s="3263">
        <v>0.14599999999999999</v>
      </c>
      <c r="G352" s="3264">
        <v>0.15</v>
      </c>
    </row>
    <row r="353" spans="1:7">
      <c r="A353" s="3273" t="s">
        <v>307</v>
      </c>
      <c r="B353" s="3262" t="s">
        <v>2959</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2972</v>
      </c>
      <c r="C355" s="3263">
        <v>0.15</v>
      </c>
      <c r="D355" s="3263">
        <v>0.15</v>
      </c>
      <c r="E355" s="3263">
        <v>0.15</v>
      </c>
      <c r="F355" s="3263">
        <v>0.15</v>
      </c>
      <c r="G355" s="3264">
        <v>0.15</v>
      </c>
    </row>
    <row r="356" spans="1:7">
      <c r="A356" s="3273" t="s">
        <v>307</v>
      </c>
      <c r="B356" s="3262" t="s">
        <v>2979</v>
      </c>
      <c r="C356" s="3263">
        <v>0.15</v>
      </c>
      <c r="D356" s="3263">
        <v>0.15</v>
      </c>
      <c r="E356" s="3263">
        <v>0.15</v>
      </c>
      <c r="F356" s="3263">
        <v>0.15</v>
      </c>
      <c r="G356" s="3264">
        <v>0.15</v>
      </c>
    </row>
    <row r="357" spans="1:7" ht="14.25" thickBot="1">
      <c r="A357" s="3276" t="s">
        <v>307</v>
      </c>
      <c r="B357" s="3266" t="s">
        <v>2984</v>
      </c>
      <c r="C357" s="3267">
        <v>0.126</v>
      </c>
      <c r="D357" s="3267">
        <v>0.127</v>
      </c>
      <c r="E357" s="3267">
        <v>0.14299999999999999</v>
      </c>
      <c r="F357" s="3267">
        <v>0.125</v>
      </c>
      <c r="G357" s="3269">
        <v>0.129</v>
      </c>
    </row>
    <row r="358" spans="1:7">
      <c r="A358" s="3272" t="s">
        <v>2853</v>
      </c>
      <c r="B358" s="3258" t="s">
        <v>2867</v>
      </c>
      <c r="C358" s="3259">
        <v>0.15</v>
      </c>
      <c r="D358" s="3259">
        <v>0.15</v>
      </c>
      <c r="E358" s="3259">
        <v>0.15</v>
      </c>
      <c r="F358" s="3259">
        <v>0.15</v>
      </c>
      <c r="G358" s="3260">
        <v>0.15</v>
      </c>
    </row>
    <row r="359" spans="1:7">
      <c r="A359" s="3273" t="s">
        <v>2853</v>
      </c>
      <c r="B359" s="3262" t="s">
        <v>2873</v>
      </c>
      <c r="C359" s="3263">
        <v>0.1</v>
      </c>
      <c r="D359" s="3263">
        <v>0.1</v>
      </c>
      <c r="E359" s="3263">
        <v>0.1</v>
      </c>
      <c r="F359" s="3263">
        <v>0.1</v>
      </c>
      <c r="G359" s="3264">
        <v>0.1</v>
      </c>
    </row>
    <row r="360" spans="1:7">
      <c r="A360" s="3273" t="s">
        <v>2853</v>
      </c>
      <c r="B360" s="3262" t="s">
        <v>2879</v>
      </c>
      <c r="C360" s="3263">
        <v>0.15</v>
      </c>
      <c r="D360" s="3263">
        <v>0.15</v>
      </c>
      <c r="E360" s="3263">
        <v>0.15</v>
      </c>
      <c r="F360" s="3263">
        <v>0.14899999999999999</v>
      </c>
      <c r="G360" s="3264">
        <v>0.15</v>
      </c>
    </row>
    <row r="361" spans="1:7">
      <c r="A361" s="3273" t="s">
        <v>2853</v>
      </c>
      <c r="B361" s="3262" t="s">
        <v>153</v>
      </c>
      <c r="C361" s="3263">
        <v>0.15</v>
      </c>
      <c r="D361" s="3263">
        <v>0.15</v>
      </c>
      <c r="E361" s="3263">
        <v>0.15</v>
      </c>
      <c r="F361" s="3263">
        <v>0.115</v>
      </c>
      <c r="G361" s="3264">
        <v>0.15</v>
      </c>
    </row>
    <row r="362" spans="1:7">
      <c r="A362" s="3273" t="s">
        <v>2853</v>
      </c>
      <c r="B362" s="3262" t="s">
        <v>2886</v>
      </c>
      <c r="C362" s="3263">
        <v>0.15</v>
      </c>
      <c r="D362" s="3263">
        <v>0.15</v>
      </c>
      <c r="E362" s="3263">
        <v>0.15</v>
      </c>
      <c r="F362" s="3263">
        <v>0.106</v>
      </c>
      <c r="G362" s="3264">
        <v>0.15</v>
      </c>
    </row>
    <row r="363" spans="1:7">
      <c r="A363" s="3273" t="s">
        <v>2853</v>
      </c>
      <c r="B363" s="3262" t="s">
        <v>2891</v>
      </c>
      <c r="C363" s="3263">
        <v>0.15</v>
      </c>
      <c r="D363" s="3263">
        <v>0.15</v>
      </c>
      <c r="E363" s="3263">
        <v>0.15</v>
      </c>
      <c r="F363" s="3263">
        <v>0.14699999999999999</v>
      </c>
      <c r="G363" s="3264">
        <v>0.15</v>
      </c>
    </row>
    <row r="364" spans="1:7">
      <c r="A364" s="3273" t="s">
        <v>2853</v>
      </c>
      <c r="B364" s="3262" t="s">
        <v>2895</v>
      </c>
      <c r="C364" s="3263">
        <v>0.15</v>
      </c>
      <c r="D364" s="3263">
        <v>0.15</v>
      </c>
      <c r="E364" s="3263">
        <v>0.15</v>
      </c>
      <c r="F364" s="3263">
        <v>0.14799999999999999</v>
      </c>
      <c r="G364" s="3264">
        <v>0.15</v>
      </c>
    </row>
    <row r="365" spans="1:7">
      <c r="A365" s="3273" t="s">
        <v>2853</v>
      </c>
      <c r="B365" s="3262" t="s">
        <v>200</v>
      </c>
      <c r="C365" s="3263">
        <v>0.15</v>
      </c>
      <c r="D365" s="3263">
        <v>0.15</v>
      </c>
      <c r="E365" s="3263">
        <v>0.15</v>
      </c>
      <c r="F365" s="3263">
        <v>0.15</v>
      </c>
      <c r="G365" s="3264">
        <v>0.15</v>
      </c>
    </row>
    <row r="366" spans="1:7">
      <c r="A366" s="3273" t="s">
        <v>2853</v>
      </c>
      <c r="B366" s="3262" t="s">
        <v>2898</v>
      </c>
      <c r="C366" s="3263">
        <v>0.15</v>
      </c>
      <c r="D366" s="3263">
        <v>0.15</v>
      </c>
      <c r="E366" s="3263">
        <v>0.15</v>
      </c>
      <c r="F366" s="3263">
        <v>0.15</v>
      </c>
      <c r="G366" s="3264">
        <v>0.15</v>
      </c>
    </row>
    <row r="367" spans="1:7">
      <c r="A367" s="3273" t="s">
        <v>2853</v>
      </c>
      <c r="B367" s="3262" t="s">
        <v>2901</v>
      </c>
      <c r="C367" s="3263">
        <v>0.15</v>
      </c>
      <c r="D367" s="3263">
        <v>0.15</v>
      </c>
      <c r="E367" s="3263">
        <v>0.15</v>
      </c>
      <c r="F367" s="3263">
        <v>0.14699999999999999</v>
      </c>
      <c r="G367" s="3264">
        <v>0.15</v>
      </c>
    </row>
    <row r="368" spans="1:7">
      <c r="A368" s="3273" t="s">
        <v>2853</v>
      </c>
      <c r="B368" s="3262" t="s">
        <v>2906</v>
      </c>
      <c r="C368" s="3263">
        <v>0.15</v>
      </c>
      <c r="D368" s="3263">
        <v>0.15</v>
      </c>
      <c r="E368" s="3263">
        <v>0.15</v>
      </c>
      <c r="F368" s="3263">
        <v>0.13600000000000001</v>
      </c>
      <c r="G368" s="3264">
        <v>0.15</v>
      </c>
    </row>
    <row r="369" spans="1:7">
      <c r="A369" s="3273" t="s">
        <v>2853</v>
      </c>
      <c r="B369" s="3262" t="s">
        <v>214</v>
      </c>
      <c r="C369" s="3263">
        <v>0.15</v>
      </c>
      <c r="D369" s="3263">
        <v>0.15</v>
      </c>
      <c r="E369" s="3263">
        <v>0.15</v>
      </c>
      <c r="F369" s="3263">
        <v>0.14399999999999999</v>
      </c>
      <c r="G369" s="3264">
        <v>0.15</v>
      </c>
    </row>
    <row r="370" spans="1:7">
      <c r="A370" s="3273" t="s">
        <v>2853</v>
      </c>
      <c r="B370" s="3262" t="s">
        <v>221</v>
      </c>
      <c r="C370" s="3263">
        <v>0.15</v>
      </c>
      <c r="D370" s="3263">
        <v>0.15</v>
      </c>
      <c r="E370" s="3263">
        <v>0.15</v>
      </c>
      <c r="F370" s="3263">
        <v>0.14599999999999999</v>
      </c>
      <c r="G370" s="3264">
        <v>0.15</v>
      </c>
    </row>
    <row r="371" spans="1:7">
      <c r="A371" s="3273" t="s">
        <v>2853</v>
      </c>
      <c r="B371" s="3262" t="s">
        <v>229</v>
      </c>
      <c r="C371" s="3263">
        <v>0.15</v>
      </c>
      <c r="D371" s="3263">
        <v>0.15</v>
      </c>
      <c r="E371" s="3263">
        <v>0.15</v>
      </c>
      <c r="F371" s="3263">
        <v>0.12</v>
      </c>
      <c r="G371" s="3264">
        <v>0.15</v>
      </c>
    </row>
    <row r="372" spans="1:7">
      <c r="A372" s="3273" t="s">
        <v>2853</v>
      </c>
      <c r="B372" s="3262" t="s">
        <v>2914</v>
      </c>
      <c r="C372" s="3263">
        <v>0.15</v>
      </c>
      <c r="D372" s="3263">
        <v>0.15</v>
      </c>
      <c r="E372" s="3263">
        <v>0.15</v>
      </c>
      <c r="F372" s="3263">
        <v>0.14299999999999999</v>
      </c>
      <c r="G372" s="3264">
        <v>0.15</v>
      </c>
    </row>
    <row r="373" spans="1:7">
      <c r="A373" s="3273" t="s">
        <v>2853</v>
      </c>
      <c r="B373" s="3262" t="s">
        <v>258</v>
      </c>
      <c r="C373" s="3263">
        <v>0.15</v>
      </c>
      <c r="D373" s="3263">
        <v>0.15</v>
      </c>
      <c r="E373" s="3263">
        <v>0.15</v>
      </c>
      <c r="F373" s="3263">
        <v>0.14599999999999999</v>
      </c>
      <c r="G373" s="3264">
        <v>0.15</v>
      </c>
    </row>
    <row r="374" spans="1:7">
      <c r="A374" s="3273" t="s">
        <v>2853</v>
      </c>
      <c r="B374" s="3262" t="s">
        <v>266</v>
      </c>
      <c r="C374" s="3263">
        <v>0.15</v>
      </c>
      <c r="D374" s="3263">
        <v>0.15</v>
      </c>
      <c r="E374" s="3263">
        <v>0.15</v>
      </c>
      <c r="F374" s="3263">
        <v>0.14399999999999999</v>
      </c>
      <c r="G374" s="3264">
        <v>0.15</v>
      </c>
    </row>
    <row r="375" spans="1:7">
      <c r="A375" s="3273" t="s">
        <v>2853</v>
      </c>
      <c r="B375" s="3262" t="s">
        <v>2922</v>
      </c>
      <c r="C375" s="3263">
        <v>0.15</v>
      </c>
      <c r="D375" s="3263">
        <v>0.15</v>
      </c>
      <c r="E375" s="3263">
        <v>0.15</v>
      </c>
      <c r="F375" s="3263">
        <v>0.13</v>
      </c>
      <c r="G375" s="3264">
        <v>0.15</v>
      </c>
    </row>
    <row r="376" spans="1:7">
      <c r="A376" s="3273" t="s">
        <v>2853</v>
      </c>
      <c r="B376" s="3262" t="s">
        <v>277</v>
      </c>
      <c r="C376" s="3263">
        <v>0.15</v>
      </c>
      <c r="D376" s="3263">
        <v>0.15</v>
      </c>
      <c r="E376" s="3263">
        <v>0.15</v>
      </c>
      <c r="F376" s="3263">
        <v>0.14199999999999999</v>
      </c>
      <c r="G376" s="3264">
        <v>0.15</v>
      </c>
    </row>
    <row r="377" spans="1:7" ht="14.25" thickBot="1">
      <c r="A377" s="3276" t="s">
        <v>2853</v>
      </c>
      <c r="B377" s="3266" t="s">
        <v>2928</v>
      </c>
      <c r="C377" s="3267">
        <v>0.15</v>
      </c>
      <c r="D377" s="3267">
        <v>0.15</v>
      </c>
      <c r="E377" s="3267">
        <v>0.15</v>
      </c>
      <c r="F377" s="3267">
        <v>0.14000000000000001</v>
      </c>
      <c r="G377" s="3269">
        <v>0.15</v>
      </c>
    </row>
    <row r="378" spans="1:7">
      <c r="A378" s="3272" t="s">
        <v>2854</v>
      </c>
      <c r="B378" s="3258" t="s">
        <v>2868</v>
      </c>
      <c r="C378" s="3259">
        <v>0.15</v>
      </c>
      <c r="D378" s="3259">
        <v>0.15</v>
      </c>
      <c r="E378" s="3259">
        <v>0.15</v>
      </c>
      <c r="F378" s="3259">
        <v>0.107</v>
      </c>
      <c r="G378" s="3260">
        <v>0.15</v>
      </c>
    </row>
    <row r="379" spans="1:7">
      <c r="A379" s="3273" t="s">
        <v>2854</v>
      </c>
      <c r="B379" s="3262" t="s">
        <v>2874</v>
      </c>
      <c r="C379" s="3263">
        <v>0.15</v>
      </c>
      <c r="D379" s="3263">
        <v>0.15</v>
      </c>
      <c r="E379" s="3263">
        <v>0.15</v>
      </c>
      <c r="F379" s="3263">
        <v>0.115</v>
      </c>
      <c r="G379" s="3264">
        <v>0.14899999999999999</v>
      </c>
    </row>
    <row r="380" spans="1:7">
      <c r="A380" s="3273" t="s">
        <v>2854</v>
      </c>
      <c r="B380" s="3262" t="s">
        <v>2880</v>
      </c>
      <c r="C380" s="3263">
        <v>0.15</v>
      </c>
      <c r="D380" s="3263">
        <v>0.15</v>
      </c>
      <c r="E380" s="3263">
        <v>0.15</v>
      </c>
      <c r="F380" s="3263">
        <v>0.1</v>
      </c>
      <c r="G380" s="3264">
        <v>0.14799999999999999</v>
      </c>
    </row>
    <row r="381" spans="1:7">
      <c r="A381" s="3273" t="s">
        <v>2854</v>
      </c>
      <c r="B381" s="3262" t="s">
        <v>2883</v>
      </c>
      <c r="C381" s="3263">
        <v>0.15</v>
      </c>
      <c r="D381" s="3263">
        <v>0.15</v>
      </c>
      <c r="E381" s="3263">
        <v>0.15</v>
      </c>
      <c r="F381" s="3263">
        <v>0.126</v>
      </c>
      <c r="G381" s="3264">
        <v>0.15</v>
      </c>
    </row>
    <row r="382" spans="1:7">
      <c r="A382" s="3273" t="s">
        <v>2854</v>
      </c>
      <c r="B382" s="3262" t="s">
        <v>2887</v>
      </c>
      <c r="C382" s="3263">
        <v>0.15</v>
      </c>
      <c r="D382" s="3263">
        <v>0.15</v>
      </c>
      <c r="E382" s="3263">
        <v>0.15</v>
      </c>
      <c r="F382" s="3263">
        <v>0.15</v>
      </c>
      <c r="G382" s="3264">
        <v>0.15</v>
      </c>
    </row>
    <row r="383" spans="1:7">
      <c r="A383" s="3273" t="s">
        <v>2854</v>
      </c>
      <c r="B383" s="3262" t="s">
        <v>2892</v>
      </c>
      <c r="C383" s="3263">
        <v>0.15</v>
      </c>
      <c r="D383" s="3263">
        <v>0.15</v>
      </c>
      <c r="E383" s="3263">
        <v>0.15</v>
      </c>
      <c r="F383" s="3263">
        <v>0.14699999999999999</v>
      </c>
      <c r="G383" s="3264">
        <v>0.15</v>
      </c>
    </row>
    <row r="384" spans="1:7" ht="14.25" thickBot="1">
      <c r="A384" s="3283" t="s">
        <v>2854</v>
      </c>
      <c r="B384" s="3284" t="s">
        <v>2896</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F17"/>
  <sheetViews>
    <sheetView workbookViewId="0">
      <selection sqref="A1:XFD1048576"/>
    </sheetView>
  </sheetViews>
  <sheetFormatPr defaultColWidth="13.25" defaultRowHeight="13.5"/>
  <cols>
    <col min="1" max="16384" width="13.25" style="3288"/>
  </cols>
  <sheetData>
    <row r="1" spans="1:6">
      <c r="A1" s="3788" t="s">
        <v>3235</v>
      </c>
      <c r="B1" s="3788"/>
      <c r="C1" s="3788"/>
      <c r="D1" s="3788"/>
      <c r="E1" s="3788"/>
      <c r="F1" s="3789"/>
    </row>
    <row r="2" spans="1:6">
      <c r="A2" s="3289" t="s">
        <v>3236</v>
      </c>
      <c r="B2" s="3290"/>
      <c r="C2" s="3290"/>
      <c r="D2" s="3290"/>
      <c r="E2" s="3290"/>
      <c r="F2" s="3290"/>
    </row>
    <row r="3" spans="1:6">
      <c r="A3" s="3289" t="s">
        <v>3237</v>
      </c>
      <c r="B3" s="3290"/>
      <c r="C3" s="3290"/>
      <c r="D3" s="3290"/>
      <c r="E3" s="3290"/>
      <c r="F3" s="3291" t="s">
        <v>3238</v>
      </c>
    </row>
    <row r="4" spans="1:6">
      <c r="A4" s="3292" t="s">
        <v>672</v>
      </c>
      <c r="B4" s="3292" t="s">
        <v>673</v>
      </c>
      <c r="C4" s="3292" t="s">
        <v>21</v>
      </c>
      <c r="D4" s="3292" t="s">
        <v>674</v>
      </c>
      <c r="E4" s="3292" t="s">
        <v>3</v>
      </c>
      <c r="F4" s="3292" t="s">
        <v>3239</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D38"/>
  <sheetViews>
    <sheetView zoomScale="80" zoomScaleNormal="80" workbookViewId="0">
      <selection activeCell="F39" sqref="F39:F48"/>
    </sheetView>
  </sheetViews>
  <sheetFormatPr defaultRowHeight="13.5"/>
  <cols>
    <col min="1" max="1" width="13.875" customWidth="1"/>
    <col min="11" max="17" width="0" hidden="1" customWidth="1"/>
    <col min="25" max="30" width="0" hidden="1" customWidth="1"/>
  </cols>
  <sheetData>
    <row r="1" spans="1:30">
      <c r="A1" s="3219">
        <f>基准地价修正!G23</f>
        <v>45153</v>
      </c>
      <c r="B1" s="3208" t="s">
        <v>2841</v>
      </c>
      <c r="C1" s="3209"/>
      <c r="D1" s="3209"/>
      <c r="E1" s="3209"/>
      <c r="F1" s="3209"/>
      <c r="G1" s="3209"/>
      <c r="H1" s="3209"/>
      <c r="I1" s="3209"/>
      <c r="J1" s="3163"/>
      <c r="K1" s="3209" t="s">
        <v>454</v>
      </c>
      <c r="L1" s="3209"/>
      <c r="M1" s="3209"/>
      <c r="N1" s="3209"/>
      <c r="O1" s="3209"/>
      <c r="P1" s="3209"/>
      <c r="Q1" s="3163"/>
      <c r="R1" s="3790" t="s">
        <v>456</v>
      </c>
      <c r="S1" s="3791"/>
      <c r="T1" s="3791"/>
      <c r="U1" s="3791"/>
      <c r="V1" s="3791"/>
      <c r="W1" s="3791"/>
      <c r="X1" s="3163"/>
      <c r="Y1" s="3790" t="s">
        <v>457</v>
      </c>
      <c r="Z1" s="3791"/>
      <c r="AA1" s="3791"/>
      <c r="AB1" s="3791"/>
      <c r="AC1" s="3791"/>
      <c r="AD1" s="3791"/>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3371</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3372</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3376</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3375</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3373</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3367</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3358</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2821</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2822</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2823</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2824</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2825</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3369</v>
      </c>
    </row>
    <row r="19" spans="1:30" s="3007" customFormat="1">
      <c r="I19" s="3206" t="s">
        <v>2826</v>
      </c>
    </row>
    <row r="20" spans="1:30" s="3007" customFormat="1"/>
    <row r="21" spans="1:30" s="3207" customFormat="1" ht="12.75">
      <c r="B21" s="3208" t="s">
        <v>2827</v>
      </c>
      <c r="C21" s="3209"/>
      <c r="D21" s="3209"/>
      <c r="E21" s="3209"/>
      <c r="F21" s="3209"/>
      <c r="G21" s="3209"/>
      <c r="H21" s="3209"/>
      <c r="I21" s="3209"/>
      <c r="J21" s="3163"/>
      <c r="K21" s="3209" t="s">
        <v>2828</v>
      </c>
      <c r="L21" s="3209"/>
      <c r="M21" s="3209"/>
      <c r="N21" s="3209"/>
      <c r="O21" s="3209"/>
      <c r="P21" s="3209"/>
      <c r="Q21" s="3163"/>
      <c r="R21" s="3790" t="s">
        <v>2829</v>
      </c>
      <c r="S21" s="3791"/>
      <c r="T21" s="3791"/>
      <c r="U21" s="3791"/>
      <c r="V21" s="3791"/>
      <c r="W21" s="3791"/>
      <c r="X21" s="3163"/>
      <c r="Y21" s="3790" t="s">
        <v>2830</v>
      </c>
      <c r="Z21" s="3791"/>
      <c r="AA21" s="3791"/>
      <c r="AB21" s="3791"/>
      <c r="AC21" s="3791"/>
      <c r="AD21" s="3791"/>
    </row>
    <row r="22" spans="1:30" s="3141" customFormat="1" ht="14.25" thickBot="1">
      <c r="B22" s="3142"/>
      <c r="C22" s="3143"/>
      <c r="D22" s="3144" t="s">
        <v>2831</v>
      </c>
      <c r="E22" s="3145" t="s">
        <v>2832</v>
      </c>
      <c r="F22" s="3145" t="s">
        <v>2833</v>
      </c>
      <c r="G22" s="3145" t="s">
        <v>2834</v>
      </c>
      <c r="H22" s="3145"/>
      <c r="I22" s="3145" t="s">
        <v>2835</v>
      </c>
      <c r="J22" s="3146"/>
      <c r="K22" s="3144" t="s">
        <v>2831</v>
      </c>
      <c r="L22" s="3145" t="s">
        <v>2832</v>
      </c>
      <c r="M22" s="3145" t="s">
        <v>2833</v>
      </c>
      <c r="N22" s="3145" t="s">
        <v>2834</v>
      </c>
      <c r="O22" s="3145"/>
      <c r="P22" s="3145" t="s">
        <v>2835</v>
      </c>
      <c r="Q22" s="3146"/>
      <c r="R22" s="3144" t="s">
        <v>2831</v>
      </c>
      <c r="S22" s="3145" t="s">
        <v>2832</v>
      </c>
      <c r="T22" s="3145" t="s">
        <v>2833</v>
      </c>
      <c r="U22" s="3145" t="s">
        <v>2834</v>
      </c>
      <c r="V22" s="3145"/>
      <c r="W22" s="3145" t="s">
        <v>2835</v>
      </c>
      <c r="X22" s="3146"/>
      <c r="Y22" s="3144" t="s">
        <v>2831</v>
      </c>
      <c r="Z22" s="3145" t="s">
        <v>2832</v>
      </c>
      <c r="AA22" s="3145" t="s">
        <v>2833</v>
      </c>
      <c r="AB22" s="3145" t="s">
        <v>2834</v>
      </c>
      <c r="AC22" s="3145"/>
      <c r="AD22" s="3145" t="s">
        <v>2835</v>
      </c>
    </row>
    <row r="23" spans="1:30" s="3159" customFormat="1" ht="12.75">
      <c r="A23" s="3147" t="s">
        <v>2836</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3371</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3372</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3374</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3375</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3373</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3368</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3358</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2837</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2838</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2839</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2840</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2825</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97" t="s">
        <v>452</v>
      </c>
      <c r="C1" s="3797"/>
      <c r="D1" s="3797"/>
      <c r="E1" s="3797"/>
      <c r="F1" s="3797"/>
      <c r="G1" s="3796" t="s">
        <v>453</v>
      </c>
      <c r="H1" s="3796"/>
      <c r="I1" s="3796"/>
      <c r="J1" s="3796"/>
      <c r="K1" s="3796"/>
      <c r="L1" s="3796"/>
      <c r="N1" s="3796" t="s">
        <v>454</v>
      </c>
      <c r="O1" s="3796"/>
      <c r="P1" s="3796"/>
      <c r="Q1" s="3796"/>
      <c r="S1" s="3796" t="s">
        <v>455</v>
      </c>
      <c r="T1" s="3796"/>
      <c r="U1" s="3796"/>
      <c r="V1" s="3796"/>
      <c r="X1" s="3795" t="s">
        <v>456</v>
      </c>
      <c r="Y1" s="3796"/>
      <c r="Z1" s="3796"/>
      <c r="AA1" s="3796"/>
      <c r="AB1" s="3796"/>
      <c r="AD1" s="3795" t="s">
        <v>457</v>
      </c>
      <c r="AE1" s="3796"/>
      <c r="AF1" s="3796"/>
      <c r="AG1" s="3796"/>
      <c r="AH1" s="3796"/>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3366</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3363</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3364</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3365</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2437</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2314</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2313</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2312</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2310</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2309</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93">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93"/>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93"/>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802"/>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98">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93"/>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93"/>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802"/>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98">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93"/>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93"/>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94"/>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92">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93"/>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93"/>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94"/>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92">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93"/>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93"/>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94"/>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99">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800"/>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800"/>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801"/>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92">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93"/>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93"/>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94"/>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92">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93">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93">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94">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92">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93">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93">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94">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92">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93">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93">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94">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92">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93">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93">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94">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92">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93">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93">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94">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92">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93">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93">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94">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92">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93">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93">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94">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92">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93">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93">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94">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92">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93">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93">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94">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92">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93">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93">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94">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IW74"/>
  <sheetViews>
    <sheetView workbookViewId="0">
      <selection activeCell="F39" sqref="F39:F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45153</v>
      </c>
      <c r="D1" s="1302" t="s">
        <v>603</v>
      </c>
      <c r="E1" s="1297">
        <f>'数据-取费表'!B22</f>
        <v>2</v>
      </c>
      <c r="F1" s="1302" t="s">
        <v>604</v>
      </c>
      <c r="G1" s="1298">
        <f ca="1">INDIRECT("d"&amp;$K$1)/100</f>
        <v>3.5499999999999997E-2</v>
      </c>
      <c r="H1" s="1302" t="s">
        <v>634</v>
      </c>
      <c r="I1" s="1298">
        <f ca="1">F4/100</f>
        <v>1.4999999999999999E-2</v>
      </c>
      <c r="J1" s="1303">
        <f>IF(C1&gt;C13,0,MATCH(C1,C$13:C$111,-1))+IF(SUMIF(C13:C111,C1,D13:D111)=0,13,12)</f>
        <v>14</v>
      </c>
      <c r="K1" s="1303">
        <f>MATCH(E1,C3:C7,1)+IF(SUMIF(C3:C7,E1,D3:D7)=0,2,1)</f>
        <v>5</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3.55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3.55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3.55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3.55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2311</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79" t="str">
        <f>IF(项目基本情况!B9="房地产市场价值","估价结果一览表","结果表-2")</f>
        <v>估价结果一览表</v>
      </c>
      <c r="B1" s="3479"/>
      <c r="C1" s="3479"/>
      <c r="D1" s="3479"/>
      <c r="E1" s="3479"/>
      <c r="F1" s="3479"/>
      <c r="G1" s="3479"/>
      <c r="H1" s="3479"/>
      <c r="I1" s="3479"/>
    </row>
    <row r="2" spans="1:9" ht="30" customHeight="1" thickTop="1">
      <c r="A2" s="3480" t="s">
        <v>928</v>
      </c>
      <c r="B2" s="3480" t="s">
        <v>929</v>
      </c>
      <c r="C2" s="3480" t="s">
        <v>930</v>
      </c>
      <c r="D2" s="3480" t="str">
        <f>结果表!D116</f>
        <v>出让国有建设用地使用权价值</v>
      </c>
      <c r="E2" s="3480"/>
      <c r="F2" s="3480" t="str">
        <f>结果表!F116</f>
        <v>在建建筑物价值</v>
      </c>
      <c r="G2" s="3480"/>
      <c r="H2" s="3480" t="str">
        <f>IF(项目基本情况!B9="房地产市场价值","房地产市场价值","房地产价值")</f>
        <v>房地产市场价值</v>
      </c>
      <c r="I2" s="3480"/>
    </row>
    <row r="3" spans="1:9" ht="15">
      <c r="A3" s="3475"/>
      <c r="B3" s="3475"/>
      <c r="C3" s="3475"/>
      <c r="D3" s="854" t="s">
        <v>925</v>
      </c>
      <c r="E3" s="854" t="s">
        <v>931</v>
      </c>
      <c r="F3" s="854" t="s">
        <v>925</v>
      </c>
      <c r="G3" s="854" t="s">
        <v>926</v>
      </c>
      <c r="H3" s="854" t="s">
        <v>925</v>
      </c>
      <c r="I3" s="854" t="s">
        <v>926</v>
      </c>
    </row>
    <row r="4" spans="1:9" ht="15">
      <c r="A4" s="1505" t="str">
        <f>项目基本情况!S2</f>
        <v>北京市房地产</v>
      </c>
      <c r="B4" s="854">
        <f>项目基本情况!C17</f>
        <v>162.94</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75" t="s">
        <v>927</v>
      </c>
      <c r="B5" s="3475"/>
      <c r="C5" s="3475"/>
      <c r="D5" s="3475" t="e">
        <f ca="1">结果表!D119</f>
        <v>#REF!</v>
      </c>
      <c r="E5" s="3475"/>
      <c r="F5" s="3475" t="e">
        <f ca="1">结果表!F119</f>
        <v>#REF!</v>
      </c>
      <c r="G5" s="3475"/>
      <c r="H5" s="3475" t="e">
        <f ca="1">结果表!H119</f>
        <v>#REF!</v>
      </c>
      <c r="I5" s="3475"/>
    </row>
    <row r="6" spans="1:9" ht="15.75">
      <c r="A6" s="3474" t="str">
        <f>结果表!A120</f>
        <v/>
      </c>
      <c r="B6" s="3474"/>
      <c r="C6" s="3474"/>
      <c r="D6" s="3474">
        <f>结果表!D120</f>
        <v>0</v>
      </c>
      <c r="E6" s="3474"/>
      <c r="F6" s="3474"/>
      <c r="G6" s="3474"/>
      <c r="H6" s="3474"/>
      <c r="I6" s="3474"/>
    </row>
    <row r="7" spans="1:9" ht="15">
      <c r="A7" s="3475" t="s">
        <v>927</v>
      </c>
      <c r="B7" s="3475"/>
      <c r="C7" s="3475"/>
      <c r="D7" s="3476" t="str">
        <f>结果表!D121</f>
        <v>零元整</v>
      </c>
      <c r="E7" s="3477"/>
      <c r="F7" s="3477"/>
      <c r="G7" s="3477"/>
      <c r="H7" s="3477"/>
      <c r="I7" s="3478"/>
    </row>
    <row r="8" spans="1:9" ht="15.75">
      <c r="A8" s="3474" t="str">
        <f>结果表!A122</f>
        <v/>
      </c>
      <c r="B8" s="3474"/>
      <c r="C8" s="3474"/>
      <c r="D8" s="3474" t="e">
        <f ca="1">结果表!D122</f>
        <v>#REF!</v>
      </c>
      <c r="E8" s="3474"/>
      <c r="F8" s="3474"/>
      <c r="G8" s="3474"/>
      <c r="H8" s="3474"/>
      <c r="I8" s="3474"/>
    </row>
    <row r="9" spans="1:9" ht="15">
      <c r="A9" s="3475" t="s">
        <v>927</v>
      </c>
      <c r="B9" s="3475"/>
      <c r="C9" s="3475"/>
      <c r="D9" s="3475" t="e">
        <f ca="1">结果表!D123</f>
        <v>#REF!</v>
      </c>
      <c r="E9" s="3475"/>
      <c r="F9" s="3475"/>
      <c r="G9" s="3475"/>
      <c r="H9" s="3475"/>
      <c r="I9" s="3475"/>
    </row>
    <row r="10" spans="1:9" ht="15.75">
      <c r="A10" s="3474" t="str">
        <f>结果表!A124</f>
        <v/>
      </c>
      <c r="B10" s="3474"/>
      <c r="C10" s="3474"/>
      <c r="D10" s="3474" t="str">
        <f>结果表!D124</f>
        <v>——</v>
      </c>
      <c r="E10" s="3474"/>
      <c r="F10" s="3474"/>
      <c r="G10" s="3474"/>
      <c r="H10" s="3474"/>
      <c r="I10" s="3474"/>
    </row>
    <row r="11" spans="1:9" ht="15">
      <c r="A11" s="3475" t="s">
        <v>927</v>
      </c>
      <c r="B11" s="3475"/>
      <c r="C11" s="3475"/>
      <c r="D11" s="3475" t="e">
        <f>结果表!D125</f>
        <v>#VALUE!</v>
      </c>
      <c r="E11" s="3475"/>
      <c r="F11" s="3475"/>
      <c r="G11" s="3475"/>
      <c r="H11" s="3475"/>
      <c r="I11" s="3475"/>
    </row>
    <row r="12" spans="1:9" ht="15.75">
      <c r="A12" s="3474" t="str">
        <f>结果表!A126</f>
        <v/>
      </c>
      <c r="B12" s="3474"/>
      <c r="C12" s="3474"/>
      <c r="D12" s="3474" t="str">
        <f>结果表!D126</f>
        <v>——</v>
      </c>
      <c r="E12" s="3474"/>
      <c r="F12" s="3474"/>
      <c r="G12" s="3474"/>
      <c r="H12" s="3474"/>
      <c r="I12" s="3474"/>
    </row>
    <row r="13" spans="1:9" ht="15.75" thickBot="1">
      <c r="A13" s="3472" t="s">
        <v>927</v>
      </c>
      <c r="B13" s="3472"/>
      <c r="C13" s="3472"/>
      <c r="D13" s="3472" t="e">
        <f>结果表!D127</f>
        <v>#VALUE!</v>
      </c>
      <c r="E13" s="3472"/>
      <c r="F13" s="3472"/>
      <c r="G13" s="3472"/>
      <c r="H13" s="3472"/>
      <c r="I13" s="3472"/>
    </row>
    <row r="14" spans="1:9" ht="15" thickTop="1">
      <c r="A14" s="3473" t="s">
        <v>932</v>
      </c>
      <c r="B14" s="3473"/>
      <c r="C14" s="3473"/>
      <c r="D14" s="3473"/>
      <c r="E14" s="3473"/>
      <c r="F14" s="3473"/>
      <c r="G14" s="3473"/>
      <c r="H14" s="3473"/>
      <c r="I14" s="347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87" t="s">
        <v>949</v>
      </c>
      <c r="B1" s="3487"/>
      <c r="C1" s="3487"/>
      <c r="D1" s="3487"/>
    </row>
    <row r="2" spans="1:4" ht="18">
      <c r="A2" s="3488" t="s">
        <v>933</v>
      </c>
      <c r="B2" s="3488"/>
      <c r="C2" s="3488"/>
      <c r="D2" s="3488"/>
    </row>
    <row r="3" spans="1:4" ht="18.75">
      <c r="A3" s="1509" t="s">
        <v>934</v>
      </c>
      <c r="B3" s="1509" t="s">
        <v>935</v>
      </c>
      <c r="C3" s="1509" t="s">
        <v>936</v>
      </c>
      <c r="D3" s="1509" t="s">
        <v>937</v>
      </c>
    </row>
    <row r="4" spans="1:4" ht="56.25" customHeight="1">
      <c r="A4" s="1510" t="str">
        <f>项目基本情况!B4</f>
        <v>陈颖</v>
      </c>
      <c r="B4" s="1511">
        <f ca="1">项目基本情况!C4</f>
        <v>1120060040</v>
      </c>
      <c r="C4" s="1512"/>
      <c r="D4" s="1513" t="s">
        <v>938</v>
      </c>
    </row>
    <row r="5" spans="1:4" ht="56.25" customHeight="1">
      <c r="A5" s="1510">
        <f>项目基本情况!D4</f>
        <v>0</v>
      </c>
      <c r="B5" s="1511">
        <f>项目基本情况!E4</f>
        <v>0</v>
      </c>
      <c r="C5" s="1514"/>
      <c r="D5" s="1513" t="s">
        <v>938</v>
      </c>
    </row>
    <row r="6" spans="1:4" ht="18">
      <c r="A6" s="3488" t="s">
        <v>939</v>
      </c>
      <c r="B6" s="3488"/>
      <c r="C6" s="3488"/>
      <c r="D6" s="348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89" t="s">
        <v>942</v>
      </c>
      <c r="B11" s="3481"/>
      <c r="C11" s="3481"/>
      <c r="D11" s="3481"/>
    </row>
    <row r="12" spans="1:4" ht="15.75">
      <c r="A12" s="348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86"/>
      <c r="C12" s="3486"/>
      <c r="D12" s="3486"/>
    </row>
    <row r="13" spans="1:4" ht="30" customHeight="1">
      <c r="A13" s="3481" t="str">
        <f>IF(项目基本情况!B8="抵押","3.抵押双方在办理抵押登记手续时，应使用本公司出具的正式《房地产评估报告》，特提醒报告使用者注意。","——")</f>
        <v>——</v>
      </c>
      <c r="B13" s="3486"/>
      <c r="C13" s="3486"/>
      <c r="D13" s="3486"/>
    </row>
    <row r="14" spans="1:4" ht="15.75" customHeight="1">
      <c r="A14" s="3481" t="str">
        <f>IF(项目基本情况!B8="抵押","4.本次评估估价师所知悉的法定优先受偿款情况说明如下：","——")</f>
        <v>——</v>
      </c>
      <c r="B14" s="3486"/>
      <c r="C14" s="3486"/>
      <c r="D14" s="3486"/>
    </row>
    <row r="15" spans="1:4" ht="42" customHeight="1">
      <c r="A15" s="3481" t="str">
        <f>IF(项目基本情况!B8="抵押","（1）"&amp;CONCATENATE(项目基本情况!L20,项目基本情况!L21,项目基本情况!L22),"——")</f>
        <v>——</v>
      </c>
      <c r="B15" s="3481"/>
      <c r="C15" s="3481"/>
      <c r="D15" s="3481"/>
    </row>
    <row r="16" spans="1:4" ht="30" customHeight="1">
      <c r="A16" s="3483" t="s">
        <v>943</v>
      </c>
      <c r="B16" s="3483"/>
      <c r="C16" s="3483"/>
      <c r="D16" s="3483"/>
    </row>
    <row r="17" spans="1:4" ht="144" customHeight="1">
      <c r="A17" s="3483" t="s">
        <v>944</v>
      </c>
      <c r="B17" s="3483"/>
      <c r="C17" s="3483"/>
      <c r="D17" s="3483"/>
    </row>
    <row r="18" spans="1:4" ht="15.75" customHeight="1">
      <c r="A18" s="3481" t="str">
        <f>IF(项目基本情况!B8="抵押",结果表!K120,"——")</f>
        <v>——</v>
      </c>
      <c r="B18" s="3481"/>
      <c r="C18" s="3481"/>
      <c r="D18" s="3481"/>
    </row>
    <row r="19" spans="1:4" ht="46.5" customHeight="1">
      <c r="A19" s="348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81"/>
      <c r="C19" s="3481"/>
      <c r="D19" s="3481"/>
    </row>
    <row r="20" spans="1:4" ht="57.75" customHeight="1">
      <c r="A20" s="348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81"/>
      <c r="C20" s="3481"/>
      <c r="D20" s="3481"/>
    </row>
    <row r="21" spans="1:4" ht="57.75" customHeight="1">
      <c r="A21" s="348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84"/>
      <c r="C21" s="3484"/>
      <c r="D21" s="3484"/>
    </row>
    <row r="22" spans="1:4" ht="18.75" customHeight="1">
      <c r="A22" s="3485" t="s">
        <v>945</v>
      </c>
      <c r="B22" s="3485"/>
      <c r="C22" s="3485"/>
      <c r="D22" s="348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82">
        <v>42551</v>
      </c>
      <c r="D31" s="348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F39" sqref="F39:F48"/>
      <selection pane="bottomLeft" activeCell="F39" sqref="F39:F48"/>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95" t="s">
        <v>956</v>
      </c>
      <c r="B15" s="3490" t="s">
        <v>109</v>
      </c>
      <c r="C15" s="3491"/>
    </row>
    <row r="16" spans="1:7" ht="13.5">
      <c r="A16" s="3496"/>
      <c r="B16" s="3490" t="s">
        <v>42</v>
      </c>
      <c r="C16" s="3491"/>
    </row>
    <row r="17" spans="1:3" ht="13.5">
      <c r="A17" s="3496"/>
      <c r="B17" s="3493" t="s">
        <v>957</v>
      </c>
      <c r="C17" s="1532" t="s">
        <v>956</v>
      </c>
    </row>
    <row r="18" spans="1:3" ht="13.5">
      <c r="A18" s="3496"/>
      <c r="B18" s="3493"/>
      <c r="C18" s="1532" t="s">
        <v>958</v>
      </c>
    </row>
    <row r="19" spans="1:3" ht="13.5">
      <c r="A19" s="3496"/>
      <c r="B19" s="3493"/>
      <c r="C19" s="1532" t="s">
        <v>959</v>
      </c>
    </row>
    <row r="20" spans="1:3" ht="13.5">
      <c r="A20" s="3497"/>
      <c r="B20" s="3492" t="s">
        <v>960</v>
      </c>
      <c r="C20" s="3491"/>
    </row>
    <row r="21" spans="1:3" ht="13.5">
      <c r="A21" s="1533" t="s">
        <v>961</v>
      </c>
      <c r="B21" s="1534"/>
      <c r="C21" s="1535"/>
    </row>
    <row r="22" spans="1:3" ht="13.5">
      <c r="A22" s="3494" t="s">
        <v>962</v>
      </c>
      <c r="B22" s="3492" t="s">
        <v>963</v>
      </c>
      <c r="C22" s="3491"/>
    </row>
    <row r="23" spans="1:3" ht="13.5">
      <c r="A23" s="3494"/>
      <c r="B23" s="3492" t="s">
        <v>964</v>
      </c>
      <c r="C23" s="3491"/>
    </row>
    <row r="24" spans="1:3" ht="13.5">
      <c r="A24" s="3494"/>
      <c r="B24" s="3492" t="s">
        <v>965</v>
      </c>
      <c r="C24" s="3491"/>
    </row>
    <row r="25" spans="1:3" ht="13.5">
      <c r="A25" s="3494"/>
      <c r="B25" s="3493" t="s">
        <v>966</v>
      </c>
      <c r="C25" s="1532" t="s">
        <v>967</v>
      </c>
    </row>
    <row r="26" spans="1:3" ht="13.5">
      <c r="A26" s="3494"/>
      <c r="B26" s="3493"/>
      <c r="C26" s="1532" t="s">
        <v>968</v>
      </c>
    </row>
    <row r="27" spans="1:3" ht="13.5">
      <c r="A27" s="3494"/>
      <c r="B27" s="3493"/>
      <c r="C27" s="1532" t="s">
        <v>969</v>
      </c>
    </row>
    <row r="28" spans="1:3" ht="13.5">
      <c r="A28" s="3494"/>
      <c r="B28" s="3493"/>
      <c r="C28" s="1532" t="s">
        <v>970</v>
      </c>
    </row>
    <row r="29" spans="1:3" ht="13.5">
      <c r="A29" s="3494"/>
      <c r="B29" s="3493"/>
      <c r="C29" s="1532" t="s">
        <v>971</v>
      </c>
    </row>
    <row r="30" spans="1:3" ht="13.5">
      <c r="A30" s="3494"/>
      <c r="B30" s="3493"/>
      <c r="C30" s="1532" t="s">
        <v>972</v>
      </c>
    </row>
    <row r="31" spans="1:3" ht="13.5">
      <c r="A31" s="3494"/>
      <c r="B31" s="3493"/>
      <c r="C31" s="1532" t="s">
        <v>973</v>
      </c>
    </row>
    <row r="32" spans="1:3" ht="13.5">
      <c r="A32" s="3494"/>
      <c r="B32" s="3493"/>
      <c r="C32" s="1532" t="s">
        <v>974</v>
      </c>
    </row>
    <row r="33" spans="1:3" ht="13.5">
      <c r="A33" s="3494"/>
      <c r="B33" s="349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F39" sqref="F39:F48"/>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45265</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2438</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98" t="s">
        <v>2160</v>
      </c>
      <c r="B17" s="3498"/>
      <c r="C17" s="3498"/>
      <c r="D17" s="3498"/>
      <c r="E17" s="3498"/>
      <c r="F17" s="3498"/>
      <c r="G17" s="3498"/>
      <c r="H17" s="3498"/>
    </row>
    <row r="18" spans="1:8" ht="24" customHeight="1">
      <c r="A18" s="3499" t="s">
        <v>2161</v>
      </c>
      <c r="B18" s="3499"/>
      <c r="C18" s="3499"/>
      <c r="D18" s="2343"/>
      <c r="E18" s="3500" t="s">
        <v>2162</v>
      </c>
      <c r="F18" s="3499"/>
      <c r="G18" s="349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2439</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Sheet1</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2023-12-05T08:00:43Z</dcterms:modified>
</cp:coreProperties>
</file>