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数据-汇总表" sheetId="6" state="hidden"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H12" i="81" l="1"/>
  <c r="B29" i="1"/>
  <c r="I7" i="33" l="1"/>
  <c r="G7" i="33"/>
  <c r="E7" i="33"/>
  <c r="H8" i="81"/>
  <c r="H9" i="81"/>
  <c r="H10" i="81"/>
  <c r="H11" i="81"/>
  <c r="H7" i="81"/>
  <c r="G8" i="81"/>
  <c r="G9" i="81"/>
  <c r="G10" i="81"/>
  <c r="G11" i="81"/>
  <c r="G7" i="81"/>
  <c r="F8" i="81"/>
  <c r="F9" i="81"/>
  <c r="F10" i="81"/>
  <c r="F11" i="81"/>
  <c r="F7" i="81"/>
  <c r="E8" i="81"/>
  <c r="E9" i="81"/>
  <c r="E10" i="81"/>
  <c r="E11" i="81"/>
  <c r="E7" i="81"/>
  <c r="I14" i="3"/>
  <c r="I15" i="3"/>
  <c r="I16" i="3"/>
  <c r="I17" i="3"/>
  <c r="I13" i="3"/>
  <c r="I9" i="74" l="1"/>
  <c r="G15" i="74"/>
  <c r="G16" i="74"/>
  <c r="G17" i="74"/>
  <c r="G18" i="74"/>
  <c r="D15" i="74"/>
  <c r="D16" i="74"/>
  <c r="D17" i="74"/>
  <c r="D18" i="74"/>
  <c r="I10" i="74" l="1"/>
  <c r="H10" i="74" l="1"/>
  <c r="I11" i="74" l="1"/>
  <c r="D14" i="74"/>
  <c r="I47" i="33" l="1"/>
  <c r="G47" i="33"/>
  <c r="I36" i="33" l="1"/>
  <c r="G36" i="33"/>
  <c r="E36" i="33"/>
  <c r="D4" i="31"/>
  <c r="E4" i="31" s="1"/>
  <c r="F4" i="31" s="1"/>
  <c r="E104" i="33"/>
  <c r="F104" i="33"/>
  <c r="D104" i="33"/>
  <c r="G22" i="4"/>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N18" i="1"/>
  <c r="Y6" i="1" s="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F15" i="74"/>
  <c r="F16" i="74"/>
  <c r="F17"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G13" i="3"/>
  <c r="BA13" i="3"/>
  <c r="BL17" i="3"/>
  <c r="AZ17" i="3"/>
  <c r="BL13" i="3"/>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M9" i="15"/>
  <c r="D5" i="73"/>
  <c r="L47" i="67"/>
  <c r="F42" i="67"/>
  <c r="B8" i="76"/>
  <c r="F42" i="15"/>
  <c r="F9" i="67"/>
  <c r="J15" i="15"/>
  <c r="M24" i="15"/>
  <c r="F26" i="15"/>
  <c r="D3" i="73"/>
  <c r="F16" i="67"/>
  <c r="M23" i="15"/>
  <c r="M6" i="15"/>
  <c r="F8" i="15"/>
  <c r="F7" i="67"/>
  <c r="M8" i="15"/>
  <c r="F43" i="67"/>
  <c r="F40" i="67"/>
  <c r="B9" i="76"/>
  <c r="L47" i="15"/>
  <c r="M22" i="67"/>
  <c r="E7" i="76"/>
  <c r="M26" i="67"/>
  <c r="L48" i="15"/>
  <c r="AO13" i="1"/>
  <c r="F43" i="15"/>
  <c r="F8" i="67"/>
  <c r="F5" i="73"/>
  <c r="F4" i="73"/>
  <c r="E2" i="69"/>
  <c r="F36" i="15"/>
  <c r="F16" i="15"/>
  <c r="F6" i="73"/>
  <c r="M28" i="15"/>
  <c r="F9" i="15"/>
  <c r="E11" i="76"/>
  <c r="B13" i="76"/>
  <c r="M9" i="67"/>
  <c r="F36" i="67"/>
  <c r="M26" i="15"/>
  <c r="F7" i="73"/>
  <c r="F20" i="31"/>
  <c r="M6" i="67"/>
  <c r="D7" i="73"/>
  <c r="F40" i="15"/>
  <c r="F38" i="67"/>
  <c r="B10" i="76"/>
  <c r="C76" i="15"/>
  <c r="B12" i="76"/>
  <c r="E9" i="76"/>
  <c r="D4" i="73"/>
  <c r="M29" i="15"/>
  <c r="B7" i="76"/>
  <c r="M8" i="67"/>
  <c r="F38" i="15"/>
  <c r="E8" i="76"/>
  <c r="F13" i="15"/>
  <c r="E12" i="76"/>
  <c r="B11" i="76"/>
  <c r="J15" i="67"/>
  <c r="F6" i="15"/>
  <c r="M23" i="67"/>
  <c r="F3" i="73"/>
  <c r="E10" i="76"/>
  <c r="M28" i="67"/>
  <c r="E2" i="68"/>
  <c r="D6" i="73"/>
  <c r="M29" i="67"/>
  <c r="F26" i="67"/>
  <c r="F7" i="15"/>
  <c r="F6" i="67"/>
  <c r="M22" i="15"/>
  <c r="F37" i="15"/>
  <c r="C76" i="67"/>
  <c r="M24" i="67"/>
  <c r="F13" i="67"/>
  <c r="E13" i="76"/>
  <c r="F34" i="15" l="1"/>
  <c r="F62" i="15" s="1"/>
  <c r="M20" i="67"/>
  <c r="BA5" i="3"/>
  <c r="AZ15" i="3"/>
  <c r="BL5" i="3"/>
  <c r="G5" i="3"/>
  <c r="B3" i="3" s="1"/>
  <c r="E82" i="3" s="1"/>
  <c r="E113" i="3"/>
  <c r="E206" i="3"/>
  <c r="E371" i="3"/>
  <c r="E103" i="3"/>
  <c r="E59" i="3"/>
  <c r="E297" i="3"/>
  <c r="E39" i="3"/>
  <c r="E566" i="3"/>
  <c r="E405" i="3"/>
  <c r="E140" i="3"/>
  <c r="F6" i="1"/>
  <c r="G6" i="1" s="1"/>
  <c r="G16" i="1" s="1"/>
  <c r="F10" i="39" s="1"/>
  <c r="W33" i="33"/>
  <c r="E83" i="3"/>
  <c r="E118" i="3"/>
  <c r="E284" i="3"/>
  <c r="E86" i="3"/>
  <c r="E300" i="3"/>
  <c r="E138" i="3"/>
  <c r="E482" i="3"/>
  <c r="E389" i="3"/>
  <c r="E240" i="3"/>
  <c r="E104" i="3"/>
  <c r="E517" i="3"/>
  <c r="E416" i="3"/>
  <c r="T6" i="3"/>
  <c r="E212"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C16" i="15"/>
  <c r="G1" i="73"/>
  <c r="C16" i="67"/>
  <c r="E29" i="6" l="1"/>
  <c r="K15" i="1" s="1"/>
  <c r="K16" i="1" s="1"/>
  <c r="C8" i="68" s="1"/>
  <c r="C5" i="68" s="1"/>
  <c r="E265" i="3"/>
  <c r="E173" i="3"/>
  <c r="E421" i="3"/>
  <c r="E255" i="3"/>
  <c r="E452" i="3"/>
  <c r="E57" i="3"/>
  <c r="E241" i="3"/>
  <c r="E42" i="3"/>
  <c r="E446" i="3"/>
  <c r="E142" i="3"/>
  <c r="E383" i="3"/>
  <c r="E48" i="3"/>
  <c r="E381" i="3"/>
  <c r="E287" i="3"/>
  <c r="E199" i="3"/>
  <c r="E469" i="3"/>
  <c r="E13" i="3"/>
  <c r="E41" i="3"/>
  <c r="E348" i="3"/>
  <c r="E462" i="3"/>
  <c r="E195" i="3"/>
  <c r="E492" i="3"/>
  <c r="E233" i="3"/>
  <c r="E264" i="3"/>
  <c r="E312" i="3"/>
  <c r="E466" i="3"/>
  <c r="E556" i="3"/>
  <c r="E520" i="3"/>
  <c r="E152" i="3"/>
  <c r="E332" i="3"/>
  <c r="E110" i="3"/>
  <c r="E64" i="3"/>
  <c r="E220" i="3"/>
  <c r="E354" i="3"/>
  <c r="E144" i="3"/>
  <c r="E102" i="3"/>
  <c r="E323" i="3"/>
  <c r="E575" i="3"/>
  <c r="E430" i="3"/>
  <c r="E435" i="3"/>
  <c r="E198" i="3"/>
  <c r="E356" i="3"/>
  <c r="E412" i="3"/>
  <c r="E248" i="3"/>
  <c r="E66" i="3"/>
  <c r="E341" i="3"/>
  <c r="E309" i="3"/>
  <c r="E244" i="3"/>
  <c r="E499" i="3"/>
  <c r="E512" i="3"/>
  <c r="E500" i="3"/>
  <c r="E479" i="3"/>
  <c r="E139" i="3"/>
  <c r="E378" i="3"/>
  <c r="E409" i="3"/>
  <c r="E78" i="3"/>
  <c r="E209" i="3"/>
  <c r="E23" i="3"/>
  <c r="E232" i="3"/>
  <c r="E19" i="3"/>
  <c r="E513" i="3"/>
  <c r="E165" i="3"/>
  <c r="E542" i="3"/>
  <c r="E459" i="3"/>
  <c r="E417" i="3"/>
  <c r="E192" i="3"/>
  <c r="E544" i="3"/>
  <c r="E96" i="3"/>
  <c r="E235" i="3"/>
  <c r="E34" i="3"/>
  <c r="E51" i="3"/>
  <c r="E510" i="3"/>
  <c r="E360" i="3"/>
  <c r="E160" i="3"/>
  <c r="E33" i="3"/>
  <c r="E370" i="3"/>
  <c r="E158" i="3"/>
  <c r="E148" i="3"/>
  <c r="AD6" i="3"/>
  <c r="E487" i="3"/>
  <c r="E491" i="3"/>
  <c r="E95" i="3"/>
  <c r="E281" i="3"/>
  <c r="AL6" i="3"/>
  <c r="AC6" i="3" s="1"/>
  <c r="E484" i="3"/>
  <c r="E65" i="3"/>
  <c r="E275" i="3"/>
  <c r="E522" i="3"/>
  <c r="E87" i="3"/>
  <c r="Y6" i="3"/>
  <c r="E222" i="3"/>
  <c r="E296" i="3"/>
  <c r="E167" i="3"/>
  <c r="E525" i="3"/>
  <c r="E552" i="3"/>
  <c r="E464" i="3"/>
  <c r="E408" i="3"/>
  <c r="E374" i="3"/>
  <c r="E554" i="3"/>
  <c r="E460" i="3"/>
  <c r="E436" i="3"/>
  <c r="E37" i="3"/>
  <c r="E187" i="3"/>
  <c r="E258" i="3"/>
  <c r="E292" i="3"/>
  <c r="E375" i="3"/>
  <c r="E76" i="3"/>
  <c r="E428" i="3"/>
  <c r="E467" i="3"/>
  <c r="E46" i="3"/>
  <c r="E190" i="3"/>
  <c r="E267" i="3"/>
  <c r="E324" i="3"/>
  <c r="E342" i="3"/>
  <c r="E84" i="3"/>
  <c r="E49" i="3"/>
  <c r="E250" i="3"/>
  <c r="AF6" i="3"/>
  <c r="E80" i="3"/>
  <c r="E179" i="3"/>
  <c r="E326" i="3"/>
  <c r="E582" i="3"/>
  <c r="E539" i="3"/>
  <c r="E149" i="3"/>
  <c r="E286" i="3"/>
  <c r="E534" i="3"/>
  <c r="E442" i="3"/>
  <c r="E541" i="3"/>
  <c r="E451" i="3"/>
  <c r="AP6" i="3"/>
  <c r="E494" i="3"/>
  <c r="E470" i="3"/>
  <c r="E56" i="3"/>
  <c r="E115" i="3"/>
  <c r="E155" i="3"/>
  <c r="E243" i="3"/>
  <c r="E391" i="3"/>
  <c r="E504" i="3"/>
  <c r="E75" i="3"/>
  <c r="E521" i="3"/>
  <c r="E47" i="3"/>
  <c r="E129" i="3"/>
  <c r="E163" i="3"/>
  <c r="E249" i="3"/>
  <c r="E386" i="3"/>
  <c r="E584" i="3"/>
  <c r="E67" i="3"/>
  <c r="E127" i="3"/>
  <c r="E355" i="3"/>
  <c r="E68" i="3"/>
  <c r="E154" i="3"/>
  <c r="E283" i="3"/>
  <c r="E22" i="3"/>
  <c r="E536" i="3"/>
  <c r="E197" i="3"/>
  <c r="E369" i="3"/>
  <c r="R6" i="3"/>
  <c r="E456" i="3"/>
  <c r="E398" i="3"/>
  <c r="E497" i="3"/>
  <c r="E413" i="3"/>
  <c r="E420" i="3"/>
  <c r="E90" i="3"/>
  <c r="E131" i="3"/>
  <c r="E225" i="3"/>
  <c r="E259" i="3"/>
  <c r="E349" i="3"/>
  <c r="E58" i="3"/>
  <c r="E488" i="3"/>
  <c r="E425" i="3"/>
  <c r="E98" i="3"/>
  <c r="E200" i="3"/>
  <c r="E266" i="3"/>
  <c r="E310" i="3"/>
  <c r="E35" i="3"/>
  <c r="E184" i="3"/>
  <c r="E63" i="3"/>
  <c r="E308" i="3"/>
  <c r="E21" i="3"/>
  <c r="E141" i="3"/>
  <c r="E502" i="3"/>
  <c r="E449" i="3"/>
  <c r="I3" i="6"/>
  <c r="E26" i="3"/>
  <c r="E132" i="3"/>
  <c r="E363" i="3"/>
  <c r="E94" i="3"/>
  <c r="E18" i="3"/>
  <c r="E174" i="3"/>
  <c r="E307" i="3"/>
  <c r="E24" i="3"/>
  <c r="E251" i="3"/>
  <c r="E81" i="3"/>
  <c r="E373" i="3"/>
  <c r="F7" i="36"/>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D30" i="6" l="1"/>
  <c r="C25" i="11"/>
  <c r="C22" i="11" s="1"/>
  <c r="C31" i="11" s="1"/>
  <c r="H21" i="6"/>
  <c r="R21" i="6" s="1"/>
  <c r="R8" i="1" s="1"/>
  <c r="H22" i="6"/>
  <c r="R22" i="6" s="1"/>
  <c r="R9" i="1" s="1"/>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D2" i="34"/>
  <c r="C19" i="9"/>
  <c r="D2" i="37"/>
  <c r="L51" i="15"/>
  <c r="D19" i="9"/>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C20" i="9"/>
  <c r="D34" i="9"/>
  <c r="D35" i="9"/>
  <c r="AO11" i="1"/>
  <c r="AO8" i="1"/>
  <c r="AO10" i="1"/>
  <c r="AO6" i="1"/>
  <c r="D20" i="9"/>
  <c r="I7" i="81" l="1"/>
  <c r="C103" i="9"/>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8" i="81" l="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9" i="81" l="1"/>
  <c r="J8" i="81"/>
  <c r="K8" i="81" s="1"/>
  <c r="S24" i="3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I10" i="81" l="1"/>
  <c r="J9" i="81"/>
  <c r="K9" i="81"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I11" i="81" l="1"/>
  <c r="J10" i="81"/>
  <c r="K10" i="81" s="1"/>
  <c r="R22" i="31"/>
  <c r="B20" i="31"/>
  <c r="B21" i="31" s="1"/>
  <c r="F14" i="74"/>
  <c r="B5" i="74"/>
  <c r="D5" i="74" s="1"/>
  <c r="J11" i="81" l="1"/>
  <c r="K11" i="81" s="1"/>
  <c r="B6" i="74"/>
  <c r="D6" i="74" s="1"/>
  <c r="F118" i="9" l="1"/>
  <c r="H118" i="9"/>
  <c r="I118" i="9" s="1"/>
  <c r="C105" i="9" s="1"/>
  <c r="I4" i="52" l="1"/>
  <c r="H102" i="9"/>
  <c r="D7" i="53" s="1"/>
  <c r="B21" i="72" s="1"/>
  <c r="K7" i="81"/>
  <c r="K12" i="81" s="1"/>
  <c r="G118" i="9"/>
  <c r="F4" i="52"/>
  <c r="B51" i="72" s="1"/>
  <c r="F119" i="9"/>
  <c r="F5" i="52" s="1"/>
  <c r="B53" i="72" s="1"/>
  <c r="D118" i="9"/>
  <c r="J7" i="81" s="1"/>
  <c r="J12" i="81" s="1"/>
  <c r="C5" i="74"/>
  <c r="H4" i="52"/>
  <c r="H101" i="9"/>
  <c r="C104" i="9"/>
  <c r="H119" i="9"/>
  <c r="H5" i="52" s="1"/>
  <c r="G4" i="52" l="1"/>
  <c r="B52" i="72" s="1"/>
  <c r="E118" i="9"/>
  <c r="E4" i="52" s="1"/>
  <c r="B48" i="72" s="1"/>
  <c r="D4" i="52"/>
  <c r="B47" i="72" s="1"/>
  <c r="D119" i="9"/>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<sst xmlns="http://schemas.openxmlformats.org/spreadsheetml/2006/main" count="7896" uniqueCount="3425">
  <si>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</si>
  <si>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</si>
  <si>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</si>
  <si>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</si>
  <si>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</si>
  <si>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</si>
  <si>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</si>
  <si>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</si>
  <si>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</si>
  <si>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</si>
  <si>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</si>
  <si>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</si>
  <si>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</si>
  <si>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</si>
  <si>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</si>
  <si>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</si>
  <si>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</si>
  <si>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</si>
  <si>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</si>
  <si>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</si>
  <si>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</si>
  <si>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</si>
  <si>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</si>
  <si>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</si>
  <si>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</si>
  <si>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</si>
  <si>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</si>
  <si>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</si>
  <si>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</si>
  <si>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</si>
  <si>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</si>
  <si>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</si>
  <si>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</si>
  <si>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</si>
  <si>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</si>
  <si>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</si>
  <si>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</si>
  <si>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</si>
  <si>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</si>
  <si>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</si>
  <si>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</si>
  <si>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</si>
  <si>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</si>
  <si>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</si>
  <si>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</si>
  <si>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</si>
  <si>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</si>
  <si>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</si>
  <si>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</si>
  <si>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</si>
  <si>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</si>
  <si>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</si>
  <si>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</si>
  <si>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</si>
  <si>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</si>
  <si>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</si>
  <si>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</si>
  <si>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</si>
  <si>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</si>
  <si>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</si>
  <si>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</si>
  <si>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</si>
  <si>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</si>
  <si>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</si>
  <si>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</si>
  <si>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</si>
  <si>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</si>
  <si>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</si>
  <si>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</si>
  <si>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</si>
  <si>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</si>
  <si>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</si>
  <si>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</si>
  <si>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</si>
  <si>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</si>
  <si>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</si>
  <si>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</si>
  <si>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</si>
  <si>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</si>
  <si>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</si>
  <si>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</si>
  <si>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</si>
  <si>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</si>
  <si>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</si>
  <si>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</si>
  <si>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</si>
  <si>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</si>
  <si>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</si>
  <si>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</si>
  <si>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</si>
  <si>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</si>
  <si>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</si>
  <si>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</si>
  <si>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</si>
  <si>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</si>
  <si>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</si>
  <si>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</si>
  <si>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</si>
  <si>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</si>
  <si>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</si>
  <si>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</si>
  <si>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</si>
  <si>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</si>
  <si>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</si>
  <si>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</si>
  <si>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</si>
  <si>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</si>
  <si>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</si>
  <si>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</si>
  <si>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</si>
  <si>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</si>
  <si>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</si>
  <si>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</si>
  <si>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</si>
  <si>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</si>
  <si>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</si>
  <si>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</si>
  <si>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</si>
  <si>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</si>
  <si>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</si>
  <si>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</si>
  <si>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</si>
  <si>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</si>
  <si>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</si>
  <si>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</si>
  <si>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</si>
  <si>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</si>
  <si>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</si>
  <si>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</si>
  <si>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</si>
  <si>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</si>
  <si>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</si>
  <si>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</si>
  <si>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</si>
  <si>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</si>
  <si>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</si>
  <si>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</si>
  <si>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</si>
  <si>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</si>
  <si>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</si>
  <si>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</si>
  <si>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</si>
  <si>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</si>
  <si>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</si>
  <si>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</si>
  <si>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</si>
  <si>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</si>
  <si>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</si>
  <si>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</si>
  <si>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</si>
  <si>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</si>
  <si>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</si>
  <si>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</si>
  <si>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</si>
  <si>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</si>
  <si>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</si>
  <si>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</si>
  <si>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</si>
  <si>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</si>
  <si>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</si>
  <si>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</si>
  <si>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</si>
  <si>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</si>
  <si>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</si>
  <si>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</si>
  <si>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</si>
  <si>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</si>
  <si>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</si>
  <si>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</si>
  <si>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</si>
  <si>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</si>
  <si>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</si>
  <si>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</si>
  <si>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</si>
  <si>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</si>
  <si>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</si>
  <si>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</si>
  <si>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</si>
  <si>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</si>
  <si>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</si>
  <si>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</si>
  <si>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</si>
  <si>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</si>
  <si>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</si>
  <si>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</si>
  <si>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</si>
  <si>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</si>
  <si>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</si>
  <si>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</si>
  <si>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</si>
  <si>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</si>
  <si>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</si>
  <si>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</si>
  <si>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</si>
  <si>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</si>
  <si>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</si>
  <si>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</si>
  <si>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</si>
  <si>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</si>
  <si>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</si>
  <si>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</si>
  <si>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</si>
  <si>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</si>
  <si>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</si>
  <si>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</si>
  <si>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</si>
  <si>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</si>
  <si>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</si>
  <si>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</si>
  <si>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</si>
  <si>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</si>
  <si>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</si>
  <si>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</si>
  <si>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</si>
  <si>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</si>
  <si>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</si>
  <si>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</si>
  <si>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</si>
  <si>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</si>
  <si>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</si>
  <si>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</si>
  <si>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</si>
  <si>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</si>
  <si>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</si>
  <si>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</si>
  <si>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</si>
  <si>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</si>
  <si>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</si>
  <si>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</si>
  <si>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</si>
  <si>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</si>
  <si>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</si>
  <si>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</si>
  <si>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</si>
  <si>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</si>
  <si>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</si>
  <si>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</si>
  <si>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</si>
  <si>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</si>
  <si>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</si>
  <si>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</si>
  <si>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</si>
  <si>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</si>
  <si>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</si>
  <si>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</si>
  <si>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</si>
  <si>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</si>
  <si>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</si>
  <si>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</si>
  <si>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</si>
  <si>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</si>
  <si>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</si>
  <si>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</si>
  <si>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</si>
  <si>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</si>
  <si>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</si>
  <si>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</si>
  <si>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</si>
  <si>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</si>
  <si>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</si>
  <si>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</si>
  <si>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</si>
  <si>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</si>
  <si>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</si>
  <si>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</si>
  <si>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</si>
  <si>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</si>
  <si>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</si>
  <si>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</si>
  <si>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</si>
  <si>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</si>
  <si>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</si>
  <si>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</si>
  <si>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</si>
  <si>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</si>
  <si>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</si>
  <si>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</si>
  <si>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</si>
  <si>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</si>
  <si>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</si>
  <si>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</si>
  <si>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</si>
  <si>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</si>
  <si>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</si>
  <si>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</si>
  <si>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</si>
  <si>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</si>
  <si>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</si>
  <si>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</si>
  <si>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</si>
  <si>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</si>
  <si>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</si>
  <si>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</si>
  <si>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</si>
  <si>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</si>
  <si>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</si>
  <si>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</si>
  <si>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</si>
  <si>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</si>
  <si>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</si>
  <si>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</si>
  <si>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</si>
  <si>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</si>
  <si>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</si>
  <si>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</si>
  <si>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</si>
  <si>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</si>
  <si>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</si>
  <si>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</si>
  <si>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</si>
  <si>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</si>
  <si>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</si>
  <si>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</si>
  <si>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</si>
  <si>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</si>
  <si>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</si>
  <si>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</si>
  <si>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</si>
  <si>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</si>
  <si>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</si>
  <si>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</si>
  <si>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</si>
  <si>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</si>
  <si>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</si>
  <si>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</si>
  <si>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</si>
  <si>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</si>
  <si>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</si>
  <si>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</si>
  <si>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</si>
  <si>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</si>
  <si>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</si>
  <si>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</si>
  <si>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</si>
  <si>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</si>
  <si>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</si>
  <si>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</si>
  <si>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</si>
  <si>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</si>
  <si>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</si>
  <si>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</si>
  <si>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</si>
  <si>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</si>
  <si>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</si>
  <si>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</si>
  <si>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</si>
  <si>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</si>
  <si>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</si>
  <si>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</si>
  <si>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</si>
  <si>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</si>
  <si>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</si>
  <si>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</si>
  <si>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</si>
  <si>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</si>
  <si>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</si>
  <si>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</si>
  <si>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</si>
  <si>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</si>
  <si>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</si>
  <si>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</si>
  <si>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</si>
  <si>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</si>
  <si>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</si>
  <si>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</si>
  <si>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</si>
  <si>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</si>
  <si>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</si>
  <si>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</si>
  <si>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</si>
  <si>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</si>
  <si>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</si>
  <si>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</si>
  <si>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</si>
  <si>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</si>
  <si>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</si>
  <si>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</si>
  <si>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</si>
  <si>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</si>
  <si>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</si>
  <si>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</si>
  <si>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</si>
  <si>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</si>
  <si>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</si>
  <si>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</si>
  <si>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</si>
  <si>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</si>
  <si>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</si>
  <si>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</si>
  <si>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</si>
  <si>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</si>
  <si>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</si>
  <si>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</si>
  <si>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</si>
  <si>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</si>
  <si>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</si>
  <si>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</si>
  <si>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</si>
  <si>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</si>
  <si>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</si>
  <si>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</si>
  <si>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</si>
  <si>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</si>
  <si>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</si>
  <si>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</si>
  <si>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</si>
  <si>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</si>
  <si>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</si>
  <si>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</si>
  <si>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</si>
  <si>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</si>
  <si>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</si>
  <si>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</si>
  <si>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</si>
  <si>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</si>
  <si>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</si>
  <si>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</si>
  <si>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</si>
  <si>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</si>
  <si>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</si>
  <si>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</si>
  <si>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</si>
  <si>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</si>
  <si>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</si>
  <si>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</si>
  <si>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</si>
  <si>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</si>
  <si>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</si>
  <si>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</si>
  <si>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</si>
  <si>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</si>
  <si>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</si>
  <si>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</si>
  <si>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</si>
  <si>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</si>
  <si>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</si>
  <si>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</si>
  <si>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</si>
  <si>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</si>
  <si>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</si>
  <si>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</si>
  <si>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</si>
  <si>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</si>
  <si>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</si>
  <si>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</si>
  <si>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</si>
  <si>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</si>
  <si>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</si>
  <si>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</si>
  <si>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</si>
  <si>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</si>
  <si>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</si>
  <si>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</si>
  <si>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</si>
  <si>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</si>
  <si>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</si>
  <si>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</si>
  <si>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</si>
  <si>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</si>
  <si>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</si>
  <si>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</si>
  <si>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</si>
  <si>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</si>
  <si>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</si>
  <si>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</si>
  <si>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</si>
  <si>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</si>
  <si>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</si>
  <si>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</si>
  <si>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</si>
  <si>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</si>
  <si>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</si>
  <si>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</si>
  <si>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</si>
  <si>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</si>
  <si>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</si>
  <si>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</si>
  <si>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</si>
  <si>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</si>
  <si>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</si>
  <si>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</si>
  <si>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</si>
  <si>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</si>
  <si>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</si>
  <si>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</si>
  <si>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</si>
  <si>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</si>
  <si>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</si>
  <si>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</si>
  <si>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</si>
  <si>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</si>
  <si>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</si>
  <si>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</si>
  <si>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</si>
  <si>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</si>
  <si>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</si>
  <si>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</si>
  <si>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</si>
  <si>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</si>
  <si>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</si>
  <si>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</si>
  <si>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</si>
  <si>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</si>
  <si>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</si>
  <si>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</si>
  <si>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</si>
  <si>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</si>
  <si>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</si>
  <si>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</si>
  <si>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</si>
  <si>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</si>
  <si>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</si>
  <si>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</si>
  <si>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</si>
  <si>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</si>
  <si>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</si>
  <si>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</si>
  <si>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</si>
  <si>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</si>
  <si>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</si>
  <si>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</si>
  <si>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</si>
  <si>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</si>
  <si>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</si>
  <si>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</si>
  <si>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</si>
  <si>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</si>
  <si>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</si>
  <si>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</si>
  <si>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</si>
  <si>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</si>
  <si>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</si>
  <si>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</si>
  <si>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</si>
  <si>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</si>
  <si>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</si>
  <si>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</si>
  <si>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</si>
  <si>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</si>
  <si>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</si>
  <si>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</si>
  <si>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</si>
  <si>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</si>
  <si>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</si>
  <si>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</si>
  <si>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</si>
  <si>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</si>
  <si>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</si>
  <si>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</si>
  <si>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</si>
  <si>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</si>
  <si>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</si>
  <si>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</si>
  <si>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</si>
  <si>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</si>
  <si>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</si>
  <si>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</si>
  <si>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</si>
  <si>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</si>
  <si>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</si>
  <si>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</si>
  <si>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</si>
  <si>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</si>
  <si>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</si>
  <si>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</si>
  <si>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</si>
  <si>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</si>
  <si>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</si>
  <si>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</si>
  <si>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</si>
  <si>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</si>
  <si>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</si>
  <si>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</si>
  <si>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</si>
  <si>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</si>
  <si>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</si>
  <si>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</si>
  <si>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</si>
  <si>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</si>
  <si>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</si>
  <si>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</si>
  <si>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</si>
  <si>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</si>
  <si>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</si>
  <si>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</si>
  <si>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</si>
  <si>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</si>
  <si>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</si>
  <si>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</si>
  <si>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</si>
  <si>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</si>
  <si>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</si>
  <si>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</si>
  <si>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</si>
  <si>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</si>
  <si>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</si>
  <si>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</si>
  <si>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</si>
  <si>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</si>
  <si>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</si>
  <si>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</si>
  <si>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</si>
  <si>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</si>
  <si>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</si>
  <si>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</si>
  <si>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</si>
  <si>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</si>
  <si>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</si>
  <si>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</si>
  <si>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</si>
  <si>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</si>
  <si>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</si>
  <si>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</si>
  <si>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</si>
  <si>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</si>
  <si>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</si>
  <si>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</si>
  <si>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</si>
  <si>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</si>
  <si>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</si>
  <si>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</si>
  <si>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</si>
  <si>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</si>
  <si>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</si>
  <si>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</si>
  <si>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</si>
  <si>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</si>
  <si>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</si>
  <si>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</si>
  <si>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</si>
  <si>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</si>
  <si>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</si>
  <si>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</si>
  <si>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</si>
  <si>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</si>
  <si>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</si>
  <si>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</si>
  <si>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</si>
  <si>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</si>
  <si>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</si>
  <si>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</si>
  <si>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</si>
  <si>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</si>
  <si>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</si>
  <si>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</si>
  <si>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</si>
  <si>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</si>
  <si>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</si>
  <si>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</si>
  <si>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</si>
  <si>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</si>
  <si>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</si>
  <si>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</si>
  <si>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</si>
  <si>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</si>
  <si>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</si>
  <si>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</si>
  <si>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</si>
  <si>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</si>
  <si>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</si>
  <si>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</si>
  <si>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</si>
  <si>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</si>
  <si>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</si>
  <si>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</si>
  <si>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</si>
  <si>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</si>
  <si>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</si>
  <si>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</si>
  <si>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</si>
  <si>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</si>
  <si>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</si>
  <si>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</si>
  <si>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</si>
  <si>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</si>
  <si>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</si>
  <si>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</si>
  <si>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</si>
  <si>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</si>
  <si>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</si>
  <si>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</si>
  <si>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</si>
  <si>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</si>
  <si>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</si>
  <si>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</si>
  <si>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</si>
  <si>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</si>
  <si>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</si>
  <si>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</si>
  <si>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</si>
  <si>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</si>
  <si>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</si>
  <si>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</si>
  <si>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</si>
  <si>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</si>
  <si>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</si>
  <si>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</si>
  <si>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</si>
  <si>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</si>
  <si>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</si>
  <si>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</si>
  <si>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</si>
  <si>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</si>
  <si>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</si>
  <si>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</si>
  <si>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</si>
  <si>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</si>
  <si>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</si>
  <si>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</si>
  <si>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</si>
  <si>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</si>
  <si>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</si>
  <si>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</si>
  <si>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</si>
  <si>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</si>
  <si>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</si>
  <si>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</si>
  <si>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</si>
  <si>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</si>
  <si>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</si>
  <si>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</si>
  <si>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</si>
  <si>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</si>
  <si>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</si>
  <si>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</si>
  <si>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</si>
  <si>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</si>
  <si>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</si>
  <si>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</si>
  <si>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</si>
  <si>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</si>
  <si>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</si>
  <si>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</si>
  <si>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</si>
  <si>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</si>
  <si>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</si>
  <si>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</si>
  <si>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</si>
  <si>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</si>
  <si>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</si>
  <si>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</si>
  <si>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</si>
  <si>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</si>
  <si>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</si>
  <si>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</si>
  <si>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</si>
  <si>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</si>
  <si>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</si>
  <si>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</si>
  <si>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</si>
  <si>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</si>
  <si>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</si>
  <si>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</si>
  <si>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</si>
  <si>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</si>
  <si>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</si>
  <si>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</si>
  <si>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</si>
  <si>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</si>
  <si>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</si>
  <si>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</si>
  <si>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</si>
  <si>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</si>
  <si>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</si>
  <si>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</si>
  <si>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</si>
  <si>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</si>
  <si>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</si>
  <si>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</si>
  <si>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</si>
  <si>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</si>
  <si>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</si>
  <si>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</si>
  <si>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</si>
  <si>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</si>
  <si>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</si>
  <si>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</si>
  <si>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</si>
  <si>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</si>
  <si>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</si>
  <si>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</si>
  <si>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</si>
  <si>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</si>
  <si>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</si>
  <si>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</si>
  <si>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</si>
  <si>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</si>
  <si>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</si>
  <si>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</si>
  <si>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</si>
  <si>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</si>
  <si>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</si>
  <si>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</si>
  <si>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</si>
  <si>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</si>
  <si>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</si>
  <si>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</si>
  <si>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</si>
  <si>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</si>
  <si>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</si>
  <si>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</si>
  <si>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</si>
  <si>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</si>
  <si>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</si>
  <si>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</si>
  <si>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</si>
  <si>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</si>
  <si>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</si>
  <si>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</si>
  <si>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</si>
  <si>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</si>
  <si>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</si>
  <si>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</si>
  <si>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</si>
  <si>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</si>
  <si>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</si>
  <si>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</si>
  <si>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</si>
  <si>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</si>
  <si>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</si>
  <si>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</si>
  <si>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</si>
  <si>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</si>
  <si>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</si>
  <si>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</si>
  <si>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</si>
  <si>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</si>
  <si>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</si>
  <si>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</si>
  <si>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</si>
  <si>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</si>
  <si>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</si>
  <si>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</si>
  <si>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</si>
  <si>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</si>
  <si>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</si>
  <si>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</si>
  <si>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</si>
  <si>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</si>
  <si>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</si>
  <si>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</si>
  <si>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</si>
  <si>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</si>
  <si>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</si>
  <si>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</si>
  <si>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</si>
  <si>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</si>
  <si>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</si>
  <si>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</si>
  <si>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</si>
  <si>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</si>
  <si>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</si>
  <si>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</si>
  <si>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</si>
  <si>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</si>
  <si>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</si>
  <si>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</si>
  <si>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</si>
  <si>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</si>
  <si>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</si>
  <si>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</si>
  <si>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</si>
  <si>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</si>
  <si>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</si>
  <si>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</si>
  <si>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</si>
  <si>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</si>
  <si>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</si>
  <si>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</si>
  <si>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</si>
  <si>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</si>
  <si>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</si>
  <si>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</si>
  <si>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</si>
  <si>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</si>
  <si>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</si>
  <si>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</si>
  <si>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</si>
  <si>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</si>
  <si>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</si>
  <si>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</si>
  <si>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</si>
  <si>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</si>
  <si>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</si>
  <si>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</si>
  <si>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</si>
  <si>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</si>
  <si>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</si>
  <si>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</si>
  <si>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</si>
  <si>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</si>
  <si>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</si>
  <si>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</si>
  <si>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</si>
  <si>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</si>
  <si>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</si>
  <si>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</si>
  <si>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</si>
  <si>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</si>
  <si>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</si>
  <si>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</si>
  <si>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</si>
  <si>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</si>
  <si>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</si>
  <si>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</si>
  <si>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</si>
  <si>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</si>
  <si>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</si>
  <si>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</si>
  <si>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</si>
  <si>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</si>
  <si>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</si>
  <si>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</si>
  <si>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</si>
  <si>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</si>
  <si>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</si>
  <si>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</si>
  <si>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</si>
  <si>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</si>
  <si>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</si>
  <si>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</si>
  <si>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</si>
  <si>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</si>
  <si>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</si>
  <si>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</si>
  <si>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</si>
  <si>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</si>
  <si>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</si>
  <si>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</si>
  <si>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</si>
  <si>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</si>
  <si>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</si>
  <si>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</si>
  <si>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</si>
  <si>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</si>
  <si>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</si>
  <si>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</si>
  <si>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</si>
  <si>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</si>
  <si>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</si>
  <si>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</si>
  <si>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</si>
  <si>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</si>
  <si>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</si>
  <si>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</si>
  <si>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</si>
  <si>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</si>
  <si>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</si>
  <si>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</si>
  <si>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</si>
  <si>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</si>
  <si>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</si>
  <si>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</si>
  <si>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</si>
  <si>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</si>
  <si>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</si>
  <si>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</si>
  <si>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</si>
  <si>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</si>
  <si>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</si>
  <si>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</si>
  <si>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</si>
  <si>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</si>
  <si>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</si>
  <si>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</si>
  <si>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</si>
  <si>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</si>
  <si>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</si>
  <si>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</si>
  <si>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</si>
  <si>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</si>
  <si>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</si>
  <si>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</si>
  <si>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</si>
  <si>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</si>
  <si>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</si>
  <si>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</si>
  <si>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</si>
  <si>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</si>
  <si>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</si>
  <si>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</si>
  <si>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</si>
  <si>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</si>
  <si>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</si>
  <si>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</si>
  <si>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</si>
  <si>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</si>
  <si>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</si>
  <si>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</si>
  <si>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</si>
  <si>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</si>
  <si>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</si>
  <si>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</si>
  <si>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</si>
  <si>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</si>
  <si>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</si>
  <si>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</si>
  <si>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</si>
  <si>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</si>
  <si>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</si>
  <si>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</si>
  <si>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</si>
  <si>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</si>
  <si>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</si>
  <si>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</si>
  <si>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</si>
  <si>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</si>
  <si>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</si>
  <si>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</si>
  <si>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</si>
  <si>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</si>
  <si>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</si>
  <si>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</si>
  <si>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</si>
  <si>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</si>
  <si>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</si>
  <si>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</si>
  <si>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</si>
  <si>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</si>
  <si>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</si>
  <si>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</si>
  <si>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</si>
  <si>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</si>
  <si>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</si>
  <si>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</si>
  <si>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</si>
  <si>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</si>
  <si>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</si>
  <si>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</si>
  <si>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</si>
  <si>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</si>
  <si>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</si>
  <si>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</si>
  <si>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</si>
  <si>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</si>
  <si>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</si>
  <si>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</si>
  <si>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</si>
  <si>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</si>
  <si>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</si>
  <si>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</si>
  <si>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</si>
  <si>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</si>
  <si>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</si>
  <si>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</si>
  <si>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</si>
  <si>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</si>
  <si>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</si>
  <si>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</si>
  <si>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</si>
  <si>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</si>
  <si>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</si>
  <si>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</si>
  <si>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</si>
  <si>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</si>
  <si>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</si>
  <si>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</si>
  <si>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</si>
  <si>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</si>
  <si>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</si>
  <si>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</si>
  <si>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</si>
  <si>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</si>
  <si>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</si>
  <si>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</si>
  <si>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</si>
  <si>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</si>
  <si>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</si>
  <si>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</si>
  <si>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</si>
  <si>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</si>
  <si>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</si>
  <si>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</si>
  <si>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</si>
  <si>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</si>
  <si>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</si>
  <si>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</si>
  <si>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</si>
  <si>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</si>
  <si>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</si>
  <si>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</si>
  <si>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</si>
  <si>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</si>
  <si>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</si>
  <si>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</si>
  <si>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</si>
  <si>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</si>
  <si>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</si>
  <si>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</si>
  <si>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</si>
  <si>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</si>
  <si>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</si>
  <si>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</si>
  <si>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</si>
  <si>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</si>
  <si>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</si>
  <si>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</si>
  <si>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</si>
  <si>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</si>
  <si>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</si>
  <si>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</si>
  <si>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</si>
  <si>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</si>
  <si>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</si>
  <si>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</si>
  <si>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</si>
  <si>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</si>
  <si>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</si>
  <si>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</si>
  <si>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</si>
  <si>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</si>
  <si>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</si>
  <si>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</si>
  <si>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</si>
  <si>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</si>
  <si>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</si>
  <si>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</si>
  <si>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</si>
  <si>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</si>
  <si>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</si>
  <si>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</si>
  <si>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</si>
  <si>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</si>
  <si>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</si>
  <si>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</si>
  <si>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</si>
  <si>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</si>
  <si>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</si>
  <si>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</si>
  <si>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</si>
  <si>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</si>
  <si>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</si>
  <si>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</si>
  <si>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</si>
  <si>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</si>
  <si>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</si>
  <si>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</si>
  <si>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</si>
  <si>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</si>
  <si>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</si>
  <si>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</si>
  <si>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</si>
  <si>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</si>
  <si>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</si>
  <si>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</si>
  <si>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</si>
  <si>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</si>
  <si>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</si>
  <si>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</si>
  <si>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</si>
  <si>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</si>
  <si>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</si>
  <si>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</si>
  <si>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</si>
  <si>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</si>
  <si>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</si>
  <si>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</si>
  <si>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</si>
  <si>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</si>
  <si>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</si>
  <si>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</si>
  <si>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</si>
  <si>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</si>
  <si>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</si>
  <si>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</si>
  <si>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</si>
  <si>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</si>
  <si>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</si>
  <si>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</si>
  <si>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</si>
  <si>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</si>
  <si>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</si>
  <si>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</si>
  <si>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</si>
  <si>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</si>
  <si>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</si>
  <si>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</si>
  <si>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</si>
  <si>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</si>
  <si>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</si>
  <si>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</si>
  <si>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</si>
  <si>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</si>
  <si>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</si>
  <si>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</si>
  <si>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</si>
  <si>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</si>
  <si>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</si>
  <si>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</si>
  <si>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</si>
  <si>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</si>
  <si>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</si>
  <si>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</si>
  <si>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</si>
  <si>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</si>
  <si>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</si>
  <si>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</si>
  <si>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</si>
  <si>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</si>
  <si>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</si>
  <si>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</si>
  <si>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</si>
  <si>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</si>
  <si>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</si>
  <si>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</si>
  <si>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</si>
  <si>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</si>
  <si>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</si>
  <si>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</si>
  <si>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</si>
  <si>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</si>
  <si>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</si>
  <si>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</si>
  <si>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</si>
  <si>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</si>
  <si>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</si>
  <si>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</si>
  <si>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</si>
  <si>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</si>
  <si>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</si>
  <si>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</si>
  <si>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</si>
  <si>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</si>
  <si>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</si>
  <si>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</si>
  <si>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</si>
  <si>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</si>
  <si>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</si>
  <si>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</si>
  <si>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</si>
  <si>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</si>
  <si>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</si>
  <si>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</si>
  <si>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</si>
  <si>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</si>
  <si>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</si>
  <si>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</si>
  <si>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</si>
  <si>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</si>
  <si>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</si>
  <si>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</si>
  <si>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</si>
  <si>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</si>
  <si>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</si>
  <si>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</si>
  <si>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</si>
  <si>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</si>
  <si>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</si>
  <si>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</si>
  <si>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</si>
  <si>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</si>
  <si>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</si>
  <si>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</si>
  <si>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</si>
  <si>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</si>
  <si>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</si>
  <si>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</si>
  <si>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</si>
  <si>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</si>
  <si>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</si>
  <si>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</si>
  <si>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</si>
  <si>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</si>
  <si>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</si>
  <si>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</si>
  <si>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</si>
  <si>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</si>
  <si>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</si>
  <si>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</si>
  <si>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</si>
  <si>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</si>
  <si>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</si>
  <si>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</si>
  <si>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</si>
  <si>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</si>
  <si>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</si>
  <si>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</si>
  <si>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</si>
  <si>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</si>
  <si>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</si>
  <si>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</si>
  <si>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</si>
  <si>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</si>
  <si>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</si>
  <si>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</si>
  <si>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</si>
  <si>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</si>
  <si>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</si>
  <si>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</si>
  <si>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</si>
  <si>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</si>
  <si>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</si>
  <si>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</si>
  <si>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</si>
  <si>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</si>
  <si>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</si>
  <si>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</si>
  <si>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</si>
  <si>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</si>
  <si>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</si>
  <si>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</si>
  <si>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</si>
  <si>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</si>
  <si>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</si>
  <si>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</si>
  <si>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</si>
  <si>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</si>
  <si>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</si>
  <si>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</si>
  <si>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</si>
  <si>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</si>
  <si>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</si>
  <si>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</si>
  <si>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</si>
  <si>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</si>
  <si>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</si>
  <si>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</si>
  <si>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</si>
  <si>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</si>
  <si>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</si>
  <si>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</si>
  <si>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</si>
  <si>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</si>
  <si>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</si>
  <si>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</si>
  <si>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</si>
  <si>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</si>
  <si>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</si>
  <si>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</si>
  <si>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</si>
  <si>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</si>
  <si>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</si>
  <si>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</si>
  <si>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</si>
  <si>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</si>
  <si>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</si>
  <si>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</si>
  <si>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</si>
  <si>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</si>
  <si>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</si>
  <si>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</si>
  <si>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</si>
  <si>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</si>
  <si>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</si>
  <si>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</si>
  <si>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</si>
  <si>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</si>
  <si>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</si>
  <si>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</si>
  <si>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</si>
  <si>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</si>
  <si>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</si>
  <si>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</si>
  <si>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</si>
  <si>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</si>
  <si>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</si>
  <si>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</si>
  <si>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</si>
  <si>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</si>
  <si>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</si>
  <si>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</si>
  <si>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</si>
  <si>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</si>
  <si>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</si>
  <si>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</si>
  <si>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</si>
  <si>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</si>
  <si>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</si>
  <si>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</si>
  <si>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</si>
  <si>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</si>
  <si>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</si>
  <si>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</si>
  <si>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</si>
  <si>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</si>
  <si>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</si>
  <si>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</si>
  <si>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</si>
  <si>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</si>
  <si>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</si>
  <si>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</si>
  <si>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</si>
  <si>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</si>
  <si>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</si>
  <si>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</si>
  <si>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</si>
  <si>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</si>
  <si>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</si>
  <si>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</si>
  <si>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</si>
  <si>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</si>
  <si>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</si>
  <si>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</si>
  <si>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</si>
  <si>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</si>
  <si>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</si>
  <si>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</si>
  <si>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</si>
  <si>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</si>
  <si>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</si>
  <si>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</si>
  <si>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</si>
  <si>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</si>
  <si>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</si>
  <si>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</si>
  <si>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</si>
  <si>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</si>
  <si>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</si>
  <si>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</si>
  <si>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</si>
  <si>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</si>
  <si>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</si>
  <si>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</si>
  <si>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</si>
  <si>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</si>
  <si>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</si>
  <si>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</si>
  <si>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</si>
  <si>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</si>
  <si>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</si>
  <si>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</si>
  <si>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</si>
  <si>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</si>
  <si>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</si>
  <si>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</si>
  <si>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</si>
  <si>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</si>
  <si>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</si>
  <si>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</si>
  <si>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</si>
  <si>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</si>
  <si>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</si>
  <si>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</si>
  <si>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</si>
  <si>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</si>
  <si>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</si>
  <si>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</si>
  <si>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</si>
  <si>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</si>
  <si>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</si>
  <si>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</si>
  <si>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</si>
  <si>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</si>
  <si>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</si>
  <si>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</si>
  <si>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</si>
  <si>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</si>
  <si>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</si>
  <si>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</si>
  <si>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</si>
  <si>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</si>
  <si>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</si>
  <si>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</si>
  <si>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</si>
  <si>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</si>
  <si>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</si>
  <si>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</si>
  <si>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</si>
  <si>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</si>
  <si>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</si>
  <si>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</si>
  <si>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</si>
  <si>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</si>
  <si>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</si>
  <si>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</si>
  <si>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</si>
  <si>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</si>
  <si>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</si>
  <si>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</si>
  <si>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</si>
  <si>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</si>
  <si>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</si>
  <si>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</si>
  <si>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</si>
  <si>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</si>
  <si>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</si>
  <si>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</si>
  <si>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</si>
  <si>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</si>
  <si>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</si>
  <si>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</si>
  <si>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</si>
  <si>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</si>
  <si>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</si>
  <si>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</si>
  <si>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</si>
  <si>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</si>
  <si>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</si>
  <si>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</si>
  <si>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</si>
  <si>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</si>
  <si>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</si>
  <si>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</si>
  <si>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</si>
  <si>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</si>
  <si>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</si>
  <si>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</si>
  <si>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</si>
  <si>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</si>
  <si>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</si>
  <si>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</si>
  <si>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</si>
  <si>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</si>
  <si>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</si>
  <si>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</si>
  <si>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</si>
  <si>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</si>
  <si>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</si>
  <si>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</si>
  <si>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</si>
  <si>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</si>
  <si>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</si>
  <si>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</si>
  <si>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</si>
  <si>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</si>
  <si>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</si>
  <si>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</si>
  <si>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</si>
  <si>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</si>
  <si>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</si>
  <si>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</si>
  <si>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</si>
  <si>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</si>
  <si>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</si>
  <si>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</si>
  <si>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</si>
  <si>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</si>
  <si>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</si>
  <si>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</si>
  <si>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</si>
  <si>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</si>
  <si>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</si>
  <si>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</si>
  <si>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</si>
  <si>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</si>
  <si>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</si>
  <si>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</si>
  <si>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</si>
  <si>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</si>
  <si>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</si>
  <si>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</si>
  <si>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</si>
  <si>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</si>
  <si>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</si>
  <si>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</si>
  <si>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</si>
  <si>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</si>
  <si>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</si>
  <si>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</si>
  <si>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</si>
  <si>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</si>
  <si>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</si>
  <si>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</si>
  <si>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</si>
  <si>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</si>
  <si>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</si>
  <si>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</si>
  <si>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</si>
  <si>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</si>
  <si>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</si>
  <si>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</si>
  <si>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</si>
  <si>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</si>
  <si>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</si>
  <si>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</si>
  <si>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</si>
  <si>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</si>
  <si>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</si>
  <si>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</si>
  <si>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</si>
  <si>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</si>
  <si>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</si>
  <si>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</si>
  <si>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</si>
  <si>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</si>
  <si>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</si>
  <si>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</si>
  <si>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</si>
  <si>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</si>
  <si>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</si>
  <si>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</si>
  <si>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</si>
  <si>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</si>
  <si>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</si>
  <si>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</si>
  <si>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</si>
  <si>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</si>
  <si>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</si>
  <si>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</si>
  <si>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</si>
  <si>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</si>
  <si>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</si>
  <si>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</si>
  <si>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</si>
  <si>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</si>
  <si>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</si>
  <si>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</si>
  <si>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</si>
  <si>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</si>
  <si>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</si>
  <si>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</si>
  <si>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</si>
  <si>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</si>
  <si>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</si>
  <si>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</si>
  <si>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</si>
  <si>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</si>
  <si>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</si>
  <si>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</si>
  <si>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</si>
  <si>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</si>
  <si>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</si>
  <si>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</si>
  <si>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</si>
  <si>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</si>
  <si>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</si>
  <si>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</si>
  <si>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</si>
  <si>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</si>
  <si>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</si>
  <si>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</si>
  <si>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</si>
  <si>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</si>
  <si>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</si>
  <si>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</si>
  <si>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</si>
  <si>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</si>
  <si>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</si>
  <si>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</si>
  <si>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</si>
  <si>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</si>
  <si>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</si>
  <si>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</si>
  <si>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</si>
  <si>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</si>
  <si>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</si>
  <si>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</si>
  <si>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</si>
  <si>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</si>
  <si>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</si>
  <si>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</si>
  <si>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</si>
  <si>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</si>
  <si>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</si>
  <si>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</si>
  <si>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</si>
  <si>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</si>
  <si>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</si>
  <si>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</si>
  <si>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</si>
  <si>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</si>
  <si>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</si>
  <si>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</si>
  <si>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</si>
  <si>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</si>
  <si>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</si>
  <si>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</si>
  <si>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</si>
  <si>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</si>
  <si>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</si>
  <si>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</si>
  <si>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</si>
  <si>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</si>
  <si>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</si>
  <si>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</si>
  <si>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</si>
  <si>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</si>
  <si>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</si>
  <si>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</si>
  <si>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</si>
  <si>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</si>
  <si>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</si>
  <si>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</si>
  <si>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</si>
  <si>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</si>
  <si>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</si>
  <si>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</si>
  <si>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</si>
  <si>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</si>
  <si>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</si>
  <si>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</si>
  <si>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</si>
  <si>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</si>
  <si>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</si>
  <si>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</si>
  <si>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</si>
  <si>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</si>
  <si>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</si>
  <si>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</si>
  <si>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</si>
  <si>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</si>
  <si>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</si>
  <si>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</si>
  <si>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</si>
  <si>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</si>
  <si>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</si>
  <si>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</si>
  <si>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</si>
  <si>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</si>
  <si>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</si>
  <si>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</si>
  <si>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</si>
  <si>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</si>
  <si>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</si>
  <si>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</si>
  <si>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</si>
  <si>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</si>
  <si>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</si>
  <si>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</si>
  <si>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</si>
  <si>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</si>
  <si>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</si>
  <si>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</si>
  <si>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</si>
  <si>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</si>
  <si>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</si>
  <si>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</si>
  <si>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</si>
  <si>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</si>
  <si>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</si>
  <si>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</si>
  <si>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</si>
  <si>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</si>
  <si>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</si>
  <si>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</si>
  <si>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</si>
  <si>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</si>
  <si>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</si>
  <si>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</si>
  <si>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</si>
  <si>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</si>
  <si>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</si>
  <si>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</si>
  <si>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</si>
  <si>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</si>
  <si>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</si>
  <si>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</si>
  <si>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</si>
  <si>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</si>
  <si>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</si>
  <si>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</si>
  <si>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</si>
  <si>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</si>
  <si>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</si>
  <si>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</si>
  <si>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</si>
  <si>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</si>
  <si>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</si>
  <si>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</si>
  <si>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</si>
  <si>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</si>
  <si>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</si>
  <si>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</si>
  <si>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</si>
  <si>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</si>
  <si>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</si>
  <si>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</si>
  <si>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</si>
  <si>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</si>
  <si>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</si>
  <si>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</si>
  <si>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</si>
  <si>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</si>
  <si>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</si>
  <si>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</si>
  <si>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</si>
  <si>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</si>
  <si>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</si>
  <si>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</si>
  <si>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</si>
  <si>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</si>
  <si>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</si>
  <si>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</si>
  <si>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</si>
  <si>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</si>
  <si>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</si>
  <si>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</si>
  <si>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</si>
  <si>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</si>
  <si>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</si>
  <si>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</si>
  <si>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</si>
  <si>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</si>
  <si>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</si>
  <si>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</si>
  <si>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</si>
  <si>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</si>
  <si>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</si>
  <si>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</si>
  <si>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</si>
  <si>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</si>
  <si>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</si>
  <si>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</si>
  <si>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</si>
  <si>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</si>
  <si>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</si>
  <si>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</si>
  <si>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</si>
  <si>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</si>
  <si>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</si>
  <si>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</si>
  <si>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</si>
  <si>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</si>
  <si>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</si>
  <si>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</si>
  <si>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</si>
  <si>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</si>
  <si>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</si>
  <si>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</si>
  <si>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</si>
  <si>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</si>
  <si>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</si>
  <si>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</si>
  <si>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</si>
  <si>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</si>
  <si>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</si>
  <si>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</si>
  <si>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</si>
  <si>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</si>
  <si>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</si>
  <si>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</si>
  <si>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</si>
  <si>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</si>
  <si>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</si>
  <si>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</si>
  <si>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</si>
  <si>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</si>
  <si>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</si>
  <si>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</si>
  <si>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</si>
  <si>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</si>
  <si>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</si>
  <si>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</si>
  <si>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</si>
  <si>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</si>
  <si>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</si>
  <si>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</si>
  <si>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</si>
  <si>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</si>
  <si>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</si>
  <si>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</si>
  <si>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</si>
  <si>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</si>
  <si>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</si>
  <si>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</si>
  <si>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</si>
  <si>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</si>
  <si>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</si>
  <si>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</si>
  <si>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</si>
  <si>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</si>
  <si>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</si>
  <si>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</si>
  <si>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</si>
  <si>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</si>
  <si>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</si>
  <si>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</si>
  <si>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</si>
  <si>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</si>
  <si>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</si>
  <si>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</si>
  <si>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</si>
  <si>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</si>
  <si>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</si>
  <si>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</si>
  <si>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</si>
  <si>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</si>
  <si>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</si>
  <si>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</si>
  <si>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</si>
  <si>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</si>
  <si>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</si>
  <si>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</si>
  <si>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</si>
  <si>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</si>
  <si>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</si>
  <si>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</si>
  <si>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</si>
  <si>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</si>
  <si>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</si>
  <si>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</si>
  <si>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</si>
  <si>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</si>
  <si>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</si>
  <si>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</si>
  <si>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</si>
  <si>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</si>
  <si>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</si>
  <si>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</si>
  <si>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</si>
  <si>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</si>
  <si>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</si>
  <si>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</si>
  <si>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</si>
  <si>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</si>
  <si>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</si>
  <si>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</si>
  <si>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</si>
  <si>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</si>
  <si>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</si>
  <si>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</si>
  <si>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</si>
  <si>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</si>
  <si>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</si>
  <si>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</si>
  <si>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</si>
  <si>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</si>
  <si>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</si>
  <si>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</si>
  <si>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</si>
  <si>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</si>
  <si>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</si>
  <si>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</si>
  <si>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</si>
  <si>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</si>
  <si>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</si>
  <si>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</si>
  <si>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</si>
  <si>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</si>
  <si>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</si>
  <si>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</si>
  <si>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</si>
  <si>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</si>
  <si>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</si>
  <si>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</si>
  <si>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</si>
  <si>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</si>
  <si>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</si>
  <si>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</si>
  <si>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</si>
  <si>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</si>
  <si>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</si>
  <si>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</si>
  <si>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</si>
  <si>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</si>
  <si>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</si>
  <si>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</si>
  <si>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</si>
  <si>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</si>
  <si>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</si>
  <si>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</si>
  <si>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</si>
  <si>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</si>
  <si>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</si>
  <si>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</si>
  <si>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</si>
  <si>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</si>
  <si>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</si>
  <si>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</si>
  <si>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</si>
  <si>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</si>
  <si>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</si>
  <si>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</si>
  <si>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</si>
  <si>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</si>
  <si>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</si>
  <si>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</si>
  <si>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</si>
  <si>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</si>
  <si>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</si>
  <si>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</si>
  <si>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</si>
  <si>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</si>
  <si>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</si>
  <si>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</si>
  <si>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</si>
  <si>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</si>
  <si>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</si>
  <si>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</si>
  <si>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</si>
  <si>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</si>
  <si>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</si>
  <si>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</si>
  <si>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</si>
  <si>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</si>
  <si>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</si>
  <si>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</si>
  <si>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</si>
  <si>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</si>
  <si>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</si>
  <si>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</si>
  <si>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</si>
  <si>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</si>
  <si>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</si>
  <si>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</si>
  <si>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</si>
  <si>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</si>
  <si>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</si>
  <si>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</si>
  <si>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</si>
  <si>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</si>
  <si>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</si>
  <si>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</si>
  <si>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</si>
  <si>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</si>
  <si>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</si>
  <si>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</si>
  <si>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</si>
  <si>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</si>
  <si>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</si>
  <si>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</si>
  <si>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</si>
  <si>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</si>
  <si>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</si>
  <si>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</si>
  <si>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</si>
  <si>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</si>
  <si>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</si>
  <si>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</si>
  <si>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</si>
  <si>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</si>
  <si>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</si>
  <si>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</si>
  <si>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</si>
  <si>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</si>
  <si>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</si>
  <si>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</si>
  <si>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</si>
  <si>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</si>
  <si>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</si>
  <si>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</si>
  <si>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</si>
  <si>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</si>
  <si>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</si>
  <si>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</si>
  <si>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</si>
  <si>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</si>
  <si>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</si>
  <si>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</si>
  <si>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</si>
  <si>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</si>
  <si>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</si>
  <si>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</si>
  <si>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</si>
  <si>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</si>
  <si>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</si>
  <si>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</si>
  <si>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</si>
  <si>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</si>
  <si>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</si>
  <si>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</si>
  <si>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</si>
  <si>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</si>
  <si>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</si>
  <si>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</si>
  <si>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</si>
  <si>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</si>
  <si>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</si>
  <si>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</si>
  <si>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</si>
  <si>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</si>
  <si>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</si>
  <si>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</si>
  <si>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</si>
  <si>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</si>
  <si>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</si>
  <si>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</si>
  <si>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</si>
  <si>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</si>
  <si>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</si>
  <si>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</si>
  <si>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</si>
  <si>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</si>
  <si>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</si>
  <si>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</si>
  <si>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</si>
  <si>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</si>
  <si>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</si>
  <si>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</si>
  <si>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</si>
  <si>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</si>
  <si>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</si>
  <si>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</si>
  <si>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</si>
  <si>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</si>
  <si>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</si>
  <si>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</si>
  <si>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</si>
  <si>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</si>
  <si>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</si>
  <si>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</si>
  <si>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</si>
  <si>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</si>
  <si>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</si>
  <si>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</si>
  <si>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</si>
  <si>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</si>
  <si>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</si>
  <si>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</si>
  <si>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</si>
  <si>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</si>
  <si>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</si>
  <si>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</si>
  <si>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</si>
  <si>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</si>
  <si>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</si>
  <si>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</si>
  <si>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</si>
  <si>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</si>
  <si>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</si>
  <si>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</si>
  <si>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</si>
  <si>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</si>
  <si>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</si>
  <si>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</si>
  <si>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</si>
  <si>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</si>
  <si>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</si>
  <si>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</si>
  <si>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</si>
  <si>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</si>
  <si>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</si>
  <si>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</si>
  <si>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</si>
  <si>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</si>
  <si>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</si>
  <si>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</si>
  <si>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</si>
  <si>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</si>
  <si>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</si>
  <si>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</si>
  <si>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</si>
  <si>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</si>
  <si>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</si>
  <si>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</si>
  <si>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</si>
  <si>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</si>
  <si>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</si>
  <si>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</si>
  <si>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</si>
  <si>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</si>
  <si>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</si>
  <si>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</si>
  <si>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</si>
  <si>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</si>
  <si>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</si>
  <si>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</si>
  <si>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</si>
  <si>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</si>
  <si>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</si>
  <si>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</si>
  <si>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</si>
  <si>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</si>
  <si>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</si>
  <si>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</si>
  <si>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</si>
  <si>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</si>
  <si>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</si>
  <si>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</si>
  <si>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</si>
  <si>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</si>
  <si>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</si>
  <si>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</si>
  <si>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</si>
  <si>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</si>
  <si>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</si>
  <si>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</si>
  <si>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</si>
  <si>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</si>
  <si>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</si>
  <si>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</si>
  <si>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</si>
  <si>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</si>
  <si>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</si>
  <si>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</si>
  <si>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</si>
  <si>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</si>
  <si>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</si>
  <si>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</si>
  <si>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</si>
  <si>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</si>
  <si>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</si>
  <si>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</si>
  <si>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</si>
  <si>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</si>
  <si>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</si>
  <si>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</si>
  <si>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</si>
  <si>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</si>
  <si>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</si>
  <si>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</si>
  <si>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</si>
  <si>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</si>
  <si>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</si>
  <si>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</si>
  <si>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</si>
  <si>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</si>
  <si>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</si>
  <si>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</si>
  <si>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</si>
  <si>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</si>
  <si>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</si>
  <si>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</si>
  <si>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</si>
  <si>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</si>
  <si>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</si>
  <si>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</si>
  <si>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</si>
  <si>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</si>
  <si>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</si>
  <si>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</si>
  <si>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</si>
  <si>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</si>
  <si>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</si>
  <si>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</si>
  <si>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</si>
  <si>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</si>
  <si>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</si>
  <si>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</si>
  <si>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</si>
  <si>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</si>
  <si>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</si>
  <si>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</si>
  <si>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</si>
  <si>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</si>
  <si>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</si>
  <si>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</si>
  <si>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</si>
  <si>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</si>
  <si>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</si>
  <si>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</si>
  <si>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</si>
  <si>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</si>
  <si>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</si>
  <si>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</si>
  <si>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</si>
  <si>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</si>
  <si>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</si>
  <si>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</si>
  <si>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</si>
  <si>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</si>
  <si>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</si>
  <si>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</si>
  <si>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</si>
  <si>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</si>
  <si>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</si>
  <si>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</si>
  <si>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</si>
  <si>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</si>
  <si>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</si>
  <si>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</si>
  <si>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</si>
  <si>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</si>
  <si>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</si>
  <si>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</si>
  <si>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</si>
  <si>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</si>
  <si>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</si>
  <si>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</si>
  <si>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</si>
  <si>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</si>
  <si>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</si>
  <si>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</si>
  <si>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</si>
  <si>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</si>
  <si>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</si>
  <si>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</si>
  <si>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</si>
  <si>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</si>
  <si>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</si>
  <si>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</si>
  <si>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</si>
  <si>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</si>
  <si>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</si>
  <si>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</si>
  <si>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</si>
  <si>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</si>
  <si>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</si>
  <si>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</si>
  <si>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</si>
  <si>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</si>
  <si>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</si>
  <si>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</si>
  <si>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</si>
  <si>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</si>
  <si>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</si>
  <si>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</si>
  <si>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</si>
  <si>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</si>
  <si>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</si>
  <si>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</si>
  <si>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</si>
  <si>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</si>
  <si>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</si>
  <si>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</si>
  <si>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</si>
  <si>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</si>
  <si>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</si>
  <si>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</si>
  <si>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</si>
  <si>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</si>
  <si>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</si>
  <si>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</si>
  <si>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</si>
  <si>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</si>
  <si>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</si>
  <si>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</si>
  <si>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</si>
  <si>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</si>
  <si>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</si>
  <si>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</si>
  <si>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</si>
  <si>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</si>
  <si>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</si>
  <si>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</si>
  <si>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</si>
  <si>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</si>
  <si>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</si>
  <si>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</si>
  <si>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</si>
  <si>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</si>
  <si>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</si>
  <si>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</si>
  <si>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</si>
  <si>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</si>
  <si>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</si>
  <si>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</si>
  <si>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</si>
  <si>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</si>
  <si>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</si>
  <si>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</si>
  <si>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</si>
  <si>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</si>
  <si>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</si>
  <si>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</si>
  <si>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</si>
  <si>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</si>
  <si>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</si>
  <si>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</si>
  <si>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</si>
  <si>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</si>
  <si>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</si>
  <si>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</si>
  <si>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</si>
  <si>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</si>
  <si>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</si>
  <si>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</si>
  <si>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</si>
  <si>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</si>
  <si>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</si>
  <si>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</si>
  <si>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</si>
  <si>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</si>
  <si>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</si>
  <si>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</si>
  <si>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</si>
  <si>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</si>
  <si>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</si>
  <si>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</si>
  <si>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</si>
  <si>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</si>
  <si>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</si>
  <si>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</si>
  <si>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</si>
  <si>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</si>
  <si>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</si>
  <si>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</si>
  <si>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</si>
  <si>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</si>
  <si>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</si>
  <si>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</si>
  <si>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</si>
  <si>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</si>
  <si>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</si>
  <si>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</si>
  <si>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</si>
  <si>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</si>
  <si>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</si>
  <si>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</si>
  <si>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</si>
  <si>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</si>
  <si>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</si>
  <si>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</si>
  <si>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</si>
  <si>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</si>
  <si>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</si>
  <si>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</si>
  <si>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</si>
  <si>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</si>
  <si>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</si>
  <si>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</si>
  <si>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</si>
  <si>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</si>
  <si>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</si>
  <si>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</si>
  <si>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</si>
  <si>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</si>
  <si>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</si>
  <si>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</si>
  <si>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</si>
  <si>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</si>
  <si>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</si>
  <si>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</si>
  <si>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</si>
  <si>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</si>
  <si>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</si>
  <si>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</si>
  <si>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</si>
  <si>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</si>
  <si>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</si>
  <si>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</si>
  <si>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</si>
  <si>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</si>
  <si>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</si>
  <si>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</si>
  <si>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</si>
  <si>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</si>
  <si>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</si>
  <si>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</si>
  <si>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</si>
  <si>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</si>
  <si>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</si>
  <si>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</si>
  <si>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</si>
  <si>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</si>
  <si>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</si>
  <si>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</si>
  <si>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</si>
  <si>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</si>
  <si>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</si>
  <si>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</si>
  <si>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</si>
  <si>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</si>
  <si>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</si>
  <si>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</si>
  <si>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</si>
  <si>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</si>
  <si>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</si>
  <si>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</si>
  <si>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</si>
  <si>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</si>
  <si>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</si>
  <si>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</si>
  <si>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</si>
  <si>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</si>
  <si>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</si>
  <si>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</si>
  <si>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</si>
  <si>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</si>
  <si>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</si>
  <si>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</si>
  <si>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</si>
  <si>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</si>
  <si>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</si>
  <si>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</si>
  <si>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</si>
  <si>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</si>
  <si>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</si>
  <si>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</si>
  <si>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</si>
  <si>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</si>
  <si>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</si>
  <si>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</si>
  <si>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</si>
  <si>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</si>
  <si>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</si>
  <si>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</si>
  <si>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</si>
  <si>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</si>
  <si>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</si>
  <si>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</si>
  <si>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</si>
  <si>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</si>
  <si>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</si>
  <si>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</si>
  <si>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</si>
  <si>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</si>
  <si>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</si>
  <si>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</si>
  <si>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</si>
  <si>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</si>
  <si>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</si>
  <si>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</si>
  <si>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</si>
  <si>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</si>
  <si>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</si>
  <si>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</si>
  <si>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</si>
  <si>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</si>
  <si>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</si>
  <si>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</si>
  <si>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</si>
  <si>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</si>
  <si>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</si>
  <si>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</si>
  <si>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</si>
  <si>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</si>
  <si>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</si>
  <si>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</si>
  <si>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</si>
  <si>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</si>
  <si>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</si>
  <si>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</si>
  <si>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</si>
  <si>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</si>
  <si>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</si>
  <si>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</si>
  <si>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</si>
  <si>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</si>
  <si>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</si>
  <si>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</si>
  <si>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</si>
  <si>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</si>
  <si>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</si>
  <si>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</si>
  <si>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</si>
  <si>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</si>
  <si>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</si>
  <si>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</si>
  <si>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</si>
  <si>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</si>
  <si>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</si>
  <si>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</si>
  <si>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</si>
  <si>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</si>
  <si>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</si>
  <si>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</si>
  <si>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</si>
  <si>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</si>
  <si>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</si>
  <si>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</si>
  <si>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</si>
  <si>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</si>
  <si>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</si>
  <si>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</si>
  <si>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</si>
  <si>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</si>
  <si>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</si>
  <si>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</si>
  <si>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</si>
  <si>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</si>
  <si>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</si>
  <si>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</si>
  <si>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</si>
  <si>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</si>
  <si>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</si>
  <si>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</si>
  <si>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</si>
  <si>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</si>
  <si>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</si>
  <si>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</si>
  <si>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</si>
  <si>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</si>
  <si>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</si>
  <si>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</si>
  <si>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</si>
  <si>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</si>
  <si>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</si>
  <si>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</si>
  <si>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</si>
  <si>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</si>
  <si>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</si>
  <si>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</si>
  <si>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</si>
  <si>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</si>
  <si>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</si>
  <si>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</si>
  <si>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</si>
  <si>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</si>
  <si>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</si>
  <si>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</si>
  <si>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</si>
  <si>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</si>
  <si>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</si>
  <si>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</si>
  <si>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</si>
  <si>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</si>
  <si>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</si>
  <si>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</si>
  <si>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</si>
  <si>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</si>
  <si>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</si>
  <si>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</si>
  <si>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</si>
  <si>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</si>
  <si>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</si>
  <si>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</si>
  <si>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</si>
  <si>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</si>
  <si>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</si>
  <si>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</si>
  <si>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</si>
  <si>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</si>
  <si>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</si>
  <si>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</si>
  <si>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</si>
  <si>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</si>
  <si>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</si>
  <si>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</si>
  <si>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</si>
  <si>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</si>
  <si>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</si>
  <si>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</si>
  <si>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</si>
  <si>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</si>
  <si>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</si>
  <si>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</si>
  <si>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</si>
  <si>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</si>
  <si>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</si>
  <si>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</si>
  <si>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</si>
  <si>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</si>
  <si>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</si>
  <si>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</si>
  <si>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</si>
  <si>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</si>
  <si>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</si>
  <si>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</si>
  <si>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</si>
  <si>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</si>
  <si>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</si>
  <si>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</si>
  <si>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</si>
  <si>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</si>
  <si>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</si>
  <si>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</si>
  <si>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</si>
  <si>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</si>
  <si>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</si>
  <si>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</si>
  <si>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</si>
  <si>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</si>
  <si>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</si>
  <si>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</si>
  <si>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</si>
  <si>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</si>
  <si>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</si>
  <si>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</si>
  <si>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</si>
  <si>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</si>
  <si>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</si>
  <si>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</si>
  <si>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</si>
  <si>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</si>
  <si>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</si>
  <si>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</si>
  <si>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</si>
  <si>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</si>
  <si>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</si>
  <si>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</si>
  <si>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</si>
  <si>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</si>
  <si>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</si>
  <si>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</si>
  <si>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</si>
  <si>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</si>
  <si>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</si>
  <si>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</si>
  <si>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</si>
  <si>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</si>
  <si>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</si>
  <si>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</si>
  <si>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</si>
  <si>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</si>
  <si>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</si>
  <si>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</si>
  <si>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</si>
  <si>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</si>
  <si>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</si>
  <si>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</si>
  <si>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</si>
  <si>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</si>
  <si>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</si>
  <si>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</si>
  <si>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</si>
  <si>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</si>
  <si>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</si>
  <si>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</si>
  <si>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</si>
  <si>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</si>
  <si>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</si>
  <si>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</si>
  <si>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</si>
  <si>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</si>
  <si>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</si>
  <si>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</si>
  <si>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</si>
  <si>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</si>
  <si>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</si>
  <si>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</si>
  <si>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</si>
  <si>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</si>
  <si>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</si>
  <si>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</si>
  <si>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</si>
  <si>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</si>
  <si>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</si>
  <si>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</si>
  <si>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</si>
  <si>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</si>
  <si>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</si>
  <si>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</si>
  <si>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</si>
  <si>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</si>
  <si>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</si>
  <si>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</si>
  <si>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</si>
  <si>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</si>
  <si>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</si>
  <si>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</si>
  <si>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</si>
  <si>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</si>
  <si>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</si>
  <si>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</si>
  <si>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</si>
  <si>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</si>
  <si>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</si>
  <si>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</si>
  <si>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</si>
  <si>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</si>
  <si>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</si>
  <si>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</si>
  <si>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</si>
  <si>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</si>
  <si>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</si>
  <si>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</si>
  <si>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</si>
  <si>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</si>
  <si>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</si>
  <si>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</si>
  <si>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</si>
  <si>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</si>
  <si>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</si>
  <si>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</si>
  <si>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</si>
  <si>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</si>
  <si>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</si>
  <si>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</si>
  <si>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</si>
  <si>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</si>
  <si>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</si>
  <si>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</si>
  <si>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</si>
  <si>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</si>
  <si>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</si>
  <si>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</si>
  <si>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</si>
  <si>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</si>
  <si>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</si>
  <si>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</si>
  <si>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</si>
  <si>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</si>
  <si>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</si>
  <si>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</si>
  <si>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</si>
  <si>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</si>
  <si>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</si>
  <si>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</si>
  <si>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</si>
  <si>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</si>
  <si>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</si>
  <si>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</si>
  <si>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</si>
  <si>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</si>
  <si>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</si>
  <si>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</si>
  <si>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</si>
  <si>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</si>
  <si>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</si>
  <si>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</si>
  <si>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</si>
  <si>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</si>
  <si>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</si>
  <si>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</si>
  <si>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</si>
  <si>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</si>
  <si>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</si>
  <si>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</si>
  <si>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</si>
  <si>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</si>
  <si>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</si>
  <si>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</si>
  <si>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</si>
  <si>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</si>
  <si>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</si>
  <si>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</si>
  <si>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</si>
  <si>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</si>
  <si>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</si>
  <si>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</si>
  <si>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</si>
  <si>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</si>
  <si>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</si>
  <si>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</si>
  <si>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</si>
  <si>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</si>
  <si>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</si>
  <si>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</si>
  <si>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</si>
  <si>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</si>
  <si>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</si>
  <si>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</si>
  <si>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</si>
  <si>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</si>
  <si>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</si>
  <si>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</si>
  <si>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</si>
  <si>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</si>
  <si>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</si>
  <si>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</si>
  <si>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</si>
  <si>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</si>
  <si>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</si>
  <si>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</si>
  <si>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</si>
  <si>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</si>
  <si>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</si>
  <si>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</si>
  <si>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</si>
  <si>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</si>
  <si>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</si>
  <si>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</si>
  <si>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</si>
  <si>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</si>
  <si>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</si>
  <si>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</si>
  <si>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</si>
  <si>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</si>
  <si>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</si>
  <si>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</si>
  <si>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</si>
  <si>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</si>
  <si>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</si>
  <si>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</si>
  <si>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</si>
  <si>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</si>
  <si>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</si>
  <si>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</si>
  <si>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</si>
  <si>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</si>
  <si>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</si>
  <si>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</si>
  <si>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</si>
  <si>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</si>
  <si>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</si>
  <si>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</si>
  <si>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</si>
  <si>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</si>
  <si>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</si>
  <si>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</si>
  <si>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</si>
  <si>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</si>
  <si>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</si>
  <si>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</si>
  <si>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</si>
  <si>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</si>
  <si>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</si>
  <si>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</si>
  <si>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</si>
  <si>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</si>
  <si>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</si>
  <si>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</si>
  <si>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</si>
  <si>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</si>
  <si>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</si>
  <si>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</si>
  <si>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</si>
  <si>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</si>
  <si>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</si>
  <si>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</si>
  <si>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</si>
  <si>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</si>
  <si>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</si>
  <si>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</si>
  <si>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</si>
  <si>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</si>
  <si>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</si>
  <si>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</si>
  <si>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</si>
  <si>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</si>
  <si>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</si>
  <si>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</si>
  <si>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</si>
  <si>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</si>
  <si>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</si>
  <si>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</si>
  <si>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</si>
  <si>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</si>
  <si>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</si>
  <si>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</si>
  <si>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</si>
  <si>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</si>
  <si>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</si>
  <si>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</si>
  <si>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</si>
  <si>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</si>
  <si>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</si>
  <si>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</si>
  <si>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</si>
  <si>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</si>
  <si>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</si>
  <si>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</si>
  <si>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</si>
  <si>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</si>
  <si>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</si>
  <si>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</si>
  <si>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</si>
  <si>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</si>
  <si>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</si>
  <si>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</si>
  <si>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</si>
  <si>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</si>
  <si>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</si>
  <si>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</si>
  <si>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</si>
  <si>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</si>
  <si>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</si>
  <si>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</si>
  <si>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</si>
  <si>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</si>
  <si>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</si>
  <si>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</si>
  <si>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</si>
  <si>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</si>
  <si>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</si>
  <si>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</si>
  <si>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</si>
  <si>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</si>
  <si>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</si>
  <si>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</si>
  <si>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</si>
  <si>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</si>
  <si>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</si>
  <si>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</si>
  <si>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</si>
  <si>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</si>
  <si>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</si>
  <si>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</si>
  <si>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</si>
  <si>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</si>
  <si>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</si>
  <si>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</si>
  <si>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</si>
  <si>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</si>
  <si>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</si>
  <si>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</si>
  <si>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</si>
  <si>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</si>
  <si>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</si>
  <si>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</si>
  <si>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</si>
  <si>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</si>
  <si>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</si>
  <si>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</si>
  <si>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</si>
  <si>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</si>
  <si>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</si>
  <si>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</si>
  <si>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</si>
  <si>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</si>
  <si>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</si>
  <si>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</si>
  <si>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</si>
  <si>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</si>
  <si>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</si>
  <si>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</si>
  <si>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</si>
  <si>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</si>
  <si>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</si>
  <si>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</si>
  <si>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</si>
  <si>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</si>
  <si>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</si>
  <si>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</si>
  <si>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</si>
  <si>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</si>
  <si>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</si>
  <si>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</si>
  <si>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</si>
  <si>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</si>
  <si>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</si>
  <si>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</si>
  <si>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</si>
  <si>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</si>
  <si>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</si>
  <si>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</si>
  <si>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</si>
  <si>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</si>
  <si>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</si>
  <si>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</si>
  <si>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</si>
  <si>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</si>
  <si>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</si>
  <si>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</si>
  <si>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</si>
  <si>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</si>
  <si>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</si>
  <si>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</si>
  <si>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</si>
  <si>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</si>
  <si>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</si>
  <si>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</si>
  <si>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</si>
  <si>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</si>
  <si>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</si>
  <si>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</si>
  <si>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</si>
  <si>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</si>
  <si>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</si>
  <si>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</si>
  <si>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</si>
  <si>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</si>
  <si>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</si>
  <si>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</si>
  <si>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</si>
  <si>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</si>
  <si>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</si>
  <si>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</si>
  <si>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</si>
  <si>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</si>
  <si>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</si>
  <si>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</si>
  <si>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</si>
  <si>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</si>
  <si>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</si>
  <si>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</si>
  <si>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</si>
  <si>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</si>
  <si>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</si>
  <si>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</si>
  <si>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</si>
  <si>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</si>
  <si>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</si>
  <si>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</si>
  <si>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</si>
  <si>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</si>
  <si>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</si>
  <si>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</si>
  <si>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</si>
  <si>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</si>
  <si>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</si>
  <si>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</si>
  <si>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</si>
  <si>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</si>
  <si>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</si>
  <si>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</si>
  <si>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</si>
  <si>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</si>
  <si>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</si>
  <si>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</si>
  <si>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</si>
  <si>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</si>
  <si>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</si>
  <si>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</si>
  <si>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</si>
  <si>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</si>
  <si>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</si>
  <si>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</si>
  <si>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</si>
  <si>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</si>
  <si>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</si>
  <si>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</si>
  <si>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</si>
  <si>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</si>
  <si>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</si>
  <si>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</si>
  <si>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</si>
  <si>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</si>
  <si>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</si>
  <si>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</si>
  <si>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</si>
  <si>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</si>
  <si>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</si>
  <si>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</si>
  <si>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</si>
  <si>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</si>
  <si>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</si>
  <si>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</si>
  <si>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</si>
  <si>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</si>
  <si>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</si>
  <si>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</si>
  <si>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</si>
  <si>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</si>
  <si>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</si>
  <si>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</si>
  <si>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</si>
  <si>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</si>
  <si>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</si>
  <si>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</si>
  <si>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</si>
  <si>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</si>
  <si>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</si>
  <si>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</si>
  <si>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</si>
  <si>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</si>
  <si>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</si>
  <si>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</si>
  <si>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</si>
  <si>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</si>
  <si>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</si>
  <si>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</si>
  <si>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</si>
  <si>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</si>
  <si>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</si>
  <si>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</si>
  <si>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</si>
  <si>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</si>
  <si>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</si>
  <si>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</si>
  <si>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</si>
  <si>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</si>
  <si>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</si>
  <si>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</si>
  <si>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</si>
  <si>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</si>
  <si>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</si>
  <si>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</si>
  <si>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</si>
  <si>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</si>
  <si>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</si>
  <si>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</si>
  <si>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</si>
  <si>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</si>
  <si>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</si>
  <si>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</si>
  <si>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</si>
  <si>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</si>
  <si>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</si>
  <si>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</si>
  <si>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</si>
  <si>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</si>
  <si>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</si>
  <si>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</si>
  <si>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</si>
  <si>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</si>
  <si>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</si>
  <si>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</si>
  <si>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</si>
  <si>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</si>
  <si>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</si>
  <si>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</si>
  <si>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</si>
  <si>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</si>
  <si>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</si>
  <si>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</si>
  <si>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</si>
  <si>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</si>
  <si>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</si>
  <si>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</si>
  <si>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</si>
  <si>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</si>
  <si>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</si>
  <si>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</si>
  <si>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</si>
  <si>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</si>
  <si>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</si>
  <si>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</si>
  <si>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</si>
  <si>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</si>
  <si>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</si>
  <si>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</si>
  <si>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</si>
  <si>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</si>
  <si>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</si>
  <si>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</si>
  <si>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</si>
  <si>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</si>
  <si>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</si>
  <si>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</si>
  <si>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</si>
  <si>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</si>
  <si>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</si>
  <si>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</si>
  <si>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</si>
  <si>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</si>
  <si>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</si>
  <si>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</si>
  <si>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</si>
  <si>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</si>
  <si>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</si>
  <si>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</si>
  <si>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</si>
  <si>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</si>
  <si>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</si>
  <si>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</si>
  <si>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</si>
  <si>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</si>
  <si>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</si>
  <si>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</si>
  <si>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</si>
  <si>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</si>
  <si>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</si>
  <si>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</si>
  <si>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</si>
  <si>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</si>
  <si>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</si>
  <si>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</si>
  <si>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</si>
  <si>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</si>
  <si>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</si>
  <si>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</si>
  <si>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</si>
  <si>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</si>
  <si>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</si>
  <si>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</si>
  <si>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</si>
  <si>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</si>
  <si>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</si>
  <si>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</si>
  <si>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</si>
  <si>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</si>
  <si>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</si>
  <si>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</si>
  <si>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</si>
  <si>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</si>
  <si>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</si>
  <si>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</si>
  <si>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</si>
  <si>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</si>
  <si>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</si>
  <si>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</si>
  <si>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</si>
  <si>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</si>
  <si>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</si>
  <si>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</si>
  <si>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</si>
  <si>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</si>
  <si>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</si>
  <si>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</si>
  <si>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</si>
  <si>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</si>
  <si>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</si>
  <si>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</si>
  <si>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</si>
  <si>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</si>
  <si>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</si>
  <si>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</si>
  <si>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</si>
  <si>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</si>
  <si>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</si>
  <si>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</si>
  <si>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</si>
  <si>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</si>
  <si>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</si>
  <si>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</si>
  <si>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</si>
  <si>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</si>
  <si>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</si>
  <si>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</si>
  <si>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</si>
  <si>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</si>
  <si>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</si>
  <si>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</si>
  <si>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</si>
  <si>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</si>
  <si>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</si>
  <si>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</si>
  <si>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</si>
  <si>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</si>
  <si>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</si>
  <si>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</si>
  <si>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</si>
  <si>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</si>
  <si>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</si>
  <si>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</si>
  <si>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</si>
  <si>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</si>
  <si>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</si>
  <si>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</si>
  <si>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</si>
  <si>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</si>
  <si>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</si>
  <si>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</si>
  <si>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</si>
  <si>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</si>
  <si>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</si>
  <si>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</si>
  <si>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</si>
  <si>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</si>
  <si>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</si>
  <si>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</si>
  <si>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</si>
  <si>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</si>
  <si>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</si>
  <si>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</si>
  <si>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</si>
  <si>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</si>
  <si>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</si>
  <si>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</si>
  <si>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</si>
  <si>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</si>
  <si>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</si>
  <si>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</si>
  <si>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</si>
  <si>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</si>
  <si>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</si>
  <si>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</si>
  <si>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</si>
  <si>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</si>
  <si>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</si>
  <si>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</si>
  <si>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</si>
  <si>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</si>
  <si>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</si>
  <si>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</si>
  <si>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</si>
  <si>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</si>
  <si>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</si>
  <si>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</si>
  <si>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</si>
  <si>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</si>
  <si>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</si>
  <si>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</si>
  <si>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</si>
  <si>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</si>
  <si>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</si>
  <si>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</si>
  <si>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</si>
  <si>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</si>
  <si>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</si>
  <si>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</si>
  <si>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</si>
  <si>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</si>
  <si>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</si>
  <si>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</si>
  <si>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</si>
  <si>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</si>
  <si>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</si>
  <si>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</si>
  <si>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</si>
  <si>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</si>
  <si>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</si>
  <si>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</si>
  <si>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</si>
  <si>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</si>
  <si>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</si>
  <si>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</si>
  <si>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</si>
  <si>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</si>
  <si>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</si>
  <si>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</si>
  <si>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</si>
  <si>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</si>
  <si>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</si>
  <si>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</si>
  <si>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</si>
  <si>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</si>
  <si>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</si>
  <si>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</si>
  <si>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</si>
  <si>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</si>
  <si>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</si>
  <si>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</si>
  <si>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</si>
  <si>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</si>
  <si>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</si>
  <si>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</si>
  <si>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</si>
  <si>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</si>
  <si>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</si>
  <si>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</si>
  <si>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</si>
  <si>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</si>
  <si>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</si>
  <si>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</si>
  <si>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</si>
  <si>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</si>
  <si>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</si>
  <si>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</si>
  <si>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</si>
  <si>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</si>
  <si>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</si>
  <si>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</si>
  <si>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</si>
  <si>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</si>
  <si>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</si>
  <si>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</si>
  <si>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</si>
  <si>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</si>
  <si>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</si>
  <si>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</si>
  <si>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</si>
  <si>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</si>
  <si>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</si>
  <si>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</si>
  <si>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</si>
  <si>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</si>
  <si>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</si>
  <si>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</si>
  <si>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</si>
  <si>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</si>
  <si>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</si>
  <si>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</si>
  <si>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</si>
  <si>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</si>
  <si>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</si>
  <si>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</si>
  <si>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</si>
  <si>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</si>
  <si>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</si>
  <si>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</si>
  <si>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</si>
  <si>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</si>
  <si>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</si>
  <si>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</si>
  <si>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</si>
  <si>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</si>
  <si>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</si>
  <si>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</si>
  <si>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</si>
  <si>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</si>
  <si>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</si>
  <si>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</si>
  <si>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</si>
  <si>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</si>
  <si>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</si>
  <si>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</si>
  <si>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</si>
  <si>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</si>
  <si>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办公</t>
    <phoneticPr fontId="30" type="noConversion"/>
  </si>
  <si>
    <t>2024年复估单单价</t>
    <phoneticPr fontId="134" type="noConversion"/>
  </si>
  <si>
    <t>2024年复估单总价</t>
    <phoneticPr fontId="134" type="noConversion"/>
  </si>
  <si>
    <t>收益比率</t>
  </si>
  <si>
    <t>住宅</t>
  </si>
  <si>
    <t>利息：取LPR加浮动点数</t>
  </si>
  <si>
    <t>总价</t>
  </si>
  <si>
    <t>房号</t>
    <phoneticPr fontId="134" type="noConversion"/>
  </si>
  <si>
    <t>建筑面积</t>
    <phoneticPr fontId="134" type="noConversion"/>
  </si>
  <si>
    <t>分摊土地面积</t>
    <phoneticPr fontId="134" type="noConversion"/>
  </si>
  <si>
    <t>单价</t>
    <phoneticPr fontId="134" type="noConversion"/>
  </si>
  <si>
    <t>总价</t>
    <phoneticPr fontId="134" type="noConversion"/>
  </si>
  <si>
    <t>建筑物总价</t>
    <phoneticPr fontId="134" type="noConversion"/>
  </si>
  <si>
    <t>土地总值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</si>
</sst>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2"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估价对象为房地产，为所有。根据《国有土地使用证》[]，估价对象（分摊）出让国有建设用地使用权面积为27平方米，建筑面积为176.57平方米。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估价对象为房地产,属开发建设的商业项目，该项目尚在开发建设中。根据《国有土地使用证》[]，估价对象（分摊）出让国有建设用地使用权面积为27平方米，规划建筑面积为176.57平方米。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2025年5月13日（评估专业人员实地查勘之日）</v>
      </c>
    </row>
    <row r="13" spans="1:2" s="1201" customFormat="1">
      <c r="A13" s="1199" t="s">
        <v>529</v>
      </c>
      <c r="B13" s="120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378</v>
      </c>
    </row>
    <row r="21" spans="1:2" s="1201" customFormat="1">
      <c r="A21" s="1199" t="s">
        <v>537</v>
      </c>
      <c r="B21" s="1200">
        <f ca="1">'预评函-2'!D7</f>
        <v>21408</v>
      </c>
    </row>
    <row r="22" spans="1:2" s="1201" customFormat="1">
      <c r="A22" s="1199" t="s">
        <v>538</v>
      </c>
      <c r="B22" s="1200" t="str">
        <f ca="1">'预评函-2'!D6</f>
        <v>叁佰柒拾捌万元整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378</v>
      </c>
    </row>
    <row r="31" spans="1:2" s="1201" customFormat="1">
      <c r="A31" s="1199" t="s">
        <v>576</v>
      </c>
      <c r="B31" s="1200">
        <f ca="1">'预评函-2'!D15</f>
        <v>21408</v>
      </c>
    </row>
    <row r="32" spans="1:2" s="1201" customFormat="1">
      <c r="A32" s="1199" t="s">
        <v>543</v>
      </c>
      <c r="B32" s="1200" t="str">
        <f ca="1">'预评函-2'!D14</f>
        <v>叁佰柒拾捌万元整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176.57</v>
      </c>
    </row>
    <row r="44" spans="1:2" s="1201" customFormat="1">
      <c r="A44" s="1199" t="s">
        <v>575</v>
      </c>
      <c r="B44" s="1200" t="str">
        <f>'预评函-3'!C2</f>
        <v>(分摊)土地面积</v>
      </c>
    </row>
    <row r="45" spans="1:2" s="1201" customFormat="1">
      <c r="A45" s="1199" t="s">
        <v>547</v>
      </c>
      <c r="B45" s="1200">
        <f>'预评函-3'!C4</f>
        <v>27</v>
      </c>
    </row>
    <row r="46" spans="1:2" s="1201" customFormat="1">
      <c r="A46" s="1199" t="s">
        <v>573</v>
      </c>
      <c r="B46" s="1200" t="str">
        <f>'预评函-3'!D2</f>
        <v>出让国有建设用地使用权价值</v>
      </c>
    </row>
    <row r="47" spans="1:2" s="1201" customFormat="1">
      <c r="A47" s="1199" t="s">
        <v>548</v>
      </c>
      <c r="B47" s="1200">
        <f ca="1">'预评函-3'!D4</f>
        <v>226</v>
      </c>
    </row>
    <row r="48" spans="1:2" s="1201" customFormat="1">
      <c r="A48" s="1199" t="s">
        <v>549</v>
      </c>
      <c r="B48" s="1200">
        <f ca="1">'预评函-3'!E4</f>
        <v>12800</v>
      </c>
    </row>
    <row r="49" spans="1:2" s="1201" customFormat="1">
      <c r="A49" s="1199" t="s">
        <v>550</v>
      </c>
      <c r="B49" s="1200" t="str">
        <f ca="1">'预评函-3'!D5</f>
        <v>贰佰贰拾陆万元整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8608</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2579</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2580</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492" t="s">
        <v>2582</v>
      </c>
      <c r="J2" s="3492"/>
      <c r="K2" s="3492"/>
      <c r="L2" s="3492"/>
      <c r="M2" s="3492"/>
      <c r="N2" s="3492"/>
      <c r="O2" s="3492"/>
      <c r="P2" s="3492"/>
      <c r="Q2" s="3492"/>
      <c r="R2" s="3492"/>
    </row>
    <row r="3" spans="1:18">
      <c r="A3" s="3018" t="s">
        <v>2503</v>
      </c>
      <c r="B3" s="3019">
        <f>项目基本情况!D3</f>
        <v>45790</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1.6</v>
      </c>
      <c r="D5" s="3023">
        <f>IF(ISERROR(ROUND(POWER(1+E5,A5-C5)*(POWER(1+E5,C5)-1)/(POWER(1+E5,A5)-1),3)),0,ROUND(POWER(1+E5,A5-C5)*(POWER(1+E5,C5)-1)/(POWER(1+E5,A5)-1),4))</f>
        <v>7.6799999999999993E-2</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11.61</v>
      </c>
      <c r="D6" s="3023">
        <f>IF(ISERROR(ROUND(POWER(1+E6,A6-C6)*(POWER(1+E6,C6)-1)/(POWER(1+E6,A6)-1),3)),0,ROUND(POWER(1+E6,A6-C6)*(POWER(1+E6,C6)-1)/(POWER(1+E6,A6)-1),4))</f>
        <v>0.42570000000000002</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31.62</v>
      </c>
      <c r="D7" s="3023">
        <f>IF(ISERROR(ROUND(POWER(1+E7,A7-C7)*(POWER(1+E7,C7)-1)/(POWER(1+E7,A7)-1),3)),0,ROUND(POWER(1+E7,A7-C7)*(POWER(1+E7,C7)-1)/(POWER(1+E7,A7)-1),4))</f>
        <v>0.75939999999999996</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45790</v>
      </c>
      <c r="C3" s="2372" t="s">
        <v>2170</v>
      </c>
      <c r="D3" s="2371">
        <f>B3</f>
        <v>45790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04" t="s">
        <v>2176</v>
      </c>
      <c r="E8" s="2389" t="s">
        <v>3384</v>
      </c>
      <c r="F8" s="2390"/>
      <c r="G8" s="2661"/>
      <c r="H8" s="2661"/>
      <c r="I8" s="2661"/>
      <c r="J8" s="2437"/>
      <c r="K8" s="2612"/>
      <c r="L8" s="2611"/>
      <c r="M8" s="2611"/>
      <c r="N8" s="2437"/>
      <c r="O8" s="2448"/>
      <c r="P8" s="2437"/>
      <c r="Q8" s="2437"/>
      <c r="R8" s="2437"/>
    </row>
    <row r="9" spans="1:30" ht="13.5" thickBot="1">
      <c r="A9" s="2391" t="s">
        <v>2177</v>
      </c>
      <c r="B9" s="2392" t="s">
        <v>3384</v>
      </c>
      <c r="C9" s="2393"/>
      <c r="D9" s="3505"/>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3"/>
    </row>
    <row r="13" spans="1:30">
      <c r="A13" s="3421" t="s">
        <v>3334</v>
      </c>
      <c r="B13" s="2405" t="s">
        <v>2189</v>
      </c>
      <c r="C13" s="854">
        <v>52384</v>
      </c>
      <c r="D13" s="854"/>
      <c r="E13" s="854"/>
      <c r="F13" s="854"/>
      <c r="G13" s="854"/>
      <c r="H13" s="854"/>
      <c r="I13" s="854"/>
      <c r="J13" s="3060"/>
      <c r="K13" s="2611"/>
      <c r="L13" s="2611"/>
      <c r="M13" s="2437"/>
      <c r="N13" s="2448"/>
      <c r="O13" s="2437"/>
      <c r="P13" s="2437"/>
      <c r="Q13" s="2437"/>
      <c r="AD13" s="1743"/>
    </row>
    <row r="14" spans="1:30">
      <c r="A14" s="1079"/>
      <c r="B14" s="2405" t="s">
        <v>2190</v>
      </c>
      <c r="C14" s="2406">
        <v>70</v>
      </c>
      <c r="D14" s="2406"/>
      <c r="E14" s="2406"/>
      <c r="F14" s="2406"/>
      <c r="G14" s="2406"/>
      <c r="H14" s="2406"/>
      <c r="I14" s="2406"/>
      <c r="J14" s="3061"/>
      <c r="K14" s="2611"/>
      <c r="L14" s="2611"/>
      <c r="M14" s="2437"/>
      <c r="N14" s="2448"/>
      <c r="O14" s="2437"/>
      <c r="P14" s="2437"/>
      <c r="Q14" s="2437"/>
      <c r="AD14" s="1743"/>
    </row>
    <row r="15" spans="1:30">
      <c r="A15" s="320"/>
      <c r="B15" s="2407" t="s">
        <v>2191</v>
      </c>
      <c r="C15" s="2408">
        <f>IF(A13="出让",IF(C13="","",ROUNDDOWN(MIN((C13-$D$3)/365,C14),2)),C14)</f>
        <v>18.059999999999999</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176.57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27</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3388</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3389</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3390</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D15" sqref="D15:D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107.77</v>
      </c>
      <c r="B3" s="11">
        <f>IF(C3="否",G5-AT5,G5)</f>
        <v>704.83999999999992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704.83999999999992</v>
      </c>
      <c r="H5" s="13">
        <f t="shared" ref="H5:AT5" si="0">SUM(H13:H656)</f>
        <v>704.83999999999992</v>
      </c>
      <c r="I5" s="13">
        <f t="shared" si="0"/>
        <v>704.83999999999992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176.57</v>
      </c>
      <c r="BA5" s="15">
        <f t="shared" si="1"/>
        <v>176.57</v>
      </c>
      <c r="BB5" s="15">
        <f t="shared" si="1"/>
        <v>176.57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107.77</v>
      </c>
      <c r="F6" s="13" t="s">
        <v>0</v>
      </c>
      <c r="G6" s="13" t="s">
        <v>1</v>
      </c>
      <c r="H6" s="17">
        <f>SUMIF(I$12:AB$12,"总值",I6:AB6)</f>
        <v>107.77</v>
      </c>
      <c r="I6" s="13">
        <f t="shared" ref="I6:AB6" si="2">ROUND($A$3*I5/$B$3,2)</f>
        <v>107.77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27</v>
      </c>
      <c r="AZ6" s="13" t="s">
        <v>2</v>
      </c>
      <c r="BA6" s="13">
        <f>ROUND($AY$6*BA5/$AZ$5,2)</f>
        <v>27</v>
      </c>
      <c r="BB6" s="13">
        <f>ROUND($AY$6*BB5/$AZ$5,2)</f>
        <v>27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601</v>
      </c>
      <c r="D13" s="1623" t="s">
        <v>3387</v>
      </c>
      <c r="E13" s="13">
        <f>IF($C$3="是",ROUND($A$3*G13/$B$3,2),ROUND($A$3*(G13-AT13)/$B$3,2))</f>
        <v>27</v>
      </c>
      <c r="F13" s="29"/>
      <c r="G13" s="30">
        <f>H13+AC13+AT13</f>
        <v>176.57</v>
      </c>
      <c r="H13" s="17">
        <f>SUMIF(I$12:AB$12,"总值",I13:AB13)</f>
        <v>176.57</v>
      </c>
      <c r="I13" s="1624">
        <f>系统读取表!B14</f>
        <v>176.57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601</v>
      </c>
      <c r="AY13" s="1347">
        <f>ROUND($AY$6*AZ13/$AZ$5,2)</f>
        <v>27</v>
      </c>
      <c r="AZ13" s="13">
        <f>BA13+BL13</f>
        <v>176.57</v>
      </c>
      <c r="BA13" s="13">
        <f>SUM(BB13:BK13)</f>
        <v>176.57</v>
      </c>
      <c r="BB13" s="13">
        <f>IF($D13="是",I13-J13,0)</f>
        <v>176.57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602</v>
      </c>
      <c r="D14" s="1623" t="s">
        <v>3390</v>
      </c>
      <c r="E14" s="13">
        <f>IF($C$3="是",ROUND($A$3*G14/$B$3,2),ROUND($A$3*(G14-AT14)/$B$3,2))</f>
        <v>22.06</v>
      </c>
      <c r="F14" s="29"/>
      <c r="G14" s="30">
        <f>H14+AC14+AT14</f>
        <v>144.31</v>
      </c>
      <c r="H14" s="17">
        <f>SUMIF(I$12:AB$12,"总值",I14:AB14)</f>
        <v>144.31</v>
      </c>
      <c r="I14" s="1624">
        <f>系统读取表!B15</f>
        <v>144.31</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602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v>603</v>
      </c>
      <c r="D15" s="1623" t="s">
        <v>3390</v>
      </c>
      <c r="E15" s="13">
        <f>IF($C$3="是",ROUND($A$3*G15/$B$3,2),ROUND($A$3*(G15-AT15)/$B$3,2))</f>
        <v>23.49</v>
      </c>
      <c r="F15" s="29"/>
      <c r="G15" s="30">
        <f>H15+AC15+AT15</f>
        <v>153.65</v>
      </c>
      <c r="H15" s="17">
        <f>SUMIF(I$12:AB$12,"总值",I15:AB15)</f>
        <v>153.65</v>
      </c>
      <c r="I15" s="1624">
        <f>系统读取表!B16</f>
        <v>153.65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603</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v>604</v>
      </c>
      <c r="D16" s="1623" t="s">
        <v>3390</v>
      </c>
      <c r="E16" s="13">
        <f>IF($C$3="是",ROUND($A$3*G16/$B$3,2),ROUND($A$3*(G16-AT16)/$B$3,2))</f>
        <v>18.309999999999999</v>
      </c>
      <c r="F16" s="29"/>
      <c r="G16" s="30">
        <f>H16+AC16+AT16</f>
        <v>119.74</v>
      </c>
      <c r="H16" s="17">
        <f>SUMIF(I$12:AB$12,"总值",I16:AB16)</f>
        <v>119.74</v>
      </c>
      <c r="I16" s="1624">
        <f>系统读取表!B17</f>
        <v>119.74</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604</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v>605</v>
      </c>
      <c r="D17" s="1623" t="s">
        <v>3390</v>
      </c>
      <c r="E17" s="13">
        <f>IF($C$3="是",ROUND($A$3*G17/$B$3,2),ROUND($A$3*(G17-AT17)/$B$3,2))</f>
        <v>16.91</v>
      </c>
      <c r="F17" s="29"/>
      <c r="G17" s="30">
        <f>H17+AC17+AT17</f>
        <v>110.57</v>
      </c>
      <c r="H17" s="17">
        <f>SUMIF(I$12:AB$12,"总值",I17:AB17)</f>
        <v>110.57</v>
      </c>
      <c r="I17" s="1624">
        <f>系统读取表!B18</f>
        <v>110.57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605</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27</v>
      </c>
      <c r="E3" s="43">
        <f>'数据-基础表'!AZ5</f>
        <v>176.57</v>
      </c>
      <c r="F3" s="2657"/>
      <c r="G3" s="1143"/>
      <c r="H3" s="1024" t="s">
        <v>1106</v>
      </c>
      <c r="I3" s="853">
        <f>ROUND('数据-基础表'!B3/'数据-基础表'!A3,2)</f>
        <v>6.54</v>
      </c>
      <c r="J3" s="2657"/>
      <c r="K3" s="2657"/>
      <c r="L3" s="2657"/>
      <c r="M3" s="2657"/>
      <c r="N3" s="2659"/>
      <c r="O3" s="2657"/>
      <c r="P3" s="2657"/>
    </row>
    <row r="4" spans="1:16" ht="15">
      <c r="A4" s="3534"/>
      <c r="B4" s="3535"/>
      <c r="C4" s="3536"/>
      <c r="D4" s="1639" t="s">
        <v>1107</v>
      </c>
      <c r="E4" s="1640" t="s">
        <v>1108</v>
      </c>
      <c r="F4" s="2657"/>
      <c r="G4" s="2650" t="s">
        <v>1133</v>
      </c>
      <c r="H4" s="1024" t="s">
        <v>1113</v>
      </c>
      <c r="I4" s="853">
        <f>ROUND(SUMIF('数据-基础表'!I9:AS9,"地上",'数据-基础表'!I5:AS5)/'数据-基础表'!A3,2)</f>
        <v>6.54</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f>ROUND(E31/D31,2)</f>
        <v>6.54</v>
      </c>
      <c r="J5" s="2657"/>
      <c r="K5" s="2657"/>
      <c r="L5" s="2657"/>
      <c r="M5" s="2657"/>
      <c r="N5" s="2657"/>
      <c r="O5" s="2657"/>
      <c r="P5" s="2657"/>
    </row>
    <row r="6" spans="1:16" ht="15" thickBot="1">
      <c r="A6" s="1642"/>
      <c r="B6" s="3537" t="s">
        <v>1111</v>
      </c>
      <c r="C6" s="3537"/>
      <c r="D6" s="45">
        <f>ROUND($D$3*E6/$E$3,2)</f>
        <v>27</v>
      </c>
      <c r="E6" s="46">
        <f>E3-E5</f>
        <v>176.57</v>
      </c>
      <c r="F6" s="2657"/>
      <c r="G6" s="2651" t="s">
        <v>1112</v>
      </c>
      <c r="H6" s="1144" t="s">
        <v>1113</v>
      </c>
      <c r="I6" s="2652">
        <f>ROUND(F31/D31,2)</f>
        <v>6.54</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27</v>
      </c>
      <c r="E8" s="48">
        <f>SUMIF('数据-基础表'!BB10:BK10,"地上",'数据-基础表'!BB5:BK5)</f>
        <v>176.57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27</v>
      </c>
      <c r="E16" s="50">
        <f>SUM(E8:E15)</f>
        <v>176.57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27</v>
      </c>
      <c r="E19" s="53">
        <f t="shared" ref="E19:E26" si="1">SUM(F19:G19)</f>
        <v>176.57</v>
      </c>
      <c r="F19" s="2793">
        <f>'数据-基础表'!I13</f>
        <v>176.57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27</v>
      </c>
      <c r="S19" s="1025">
        <f t="shared" si="5"/>
        <v>176.57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27</v>
      </c>
      <c r="E27" s="1139">
        <f>IF(SUM(E19:E26)='数据-基础表'!BA5,SUM(E19:E26),IF(F27="地上面积有误","面积有误","地下面积有误"))</f>
        <v>176.57</v>
      </c>
      <c r="F27" s="1138">
        <f>IF(SUM(F19:F26)=E8,SUM(F19:F26),"地上面积有误")</f>
        <v>176.57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27</v>
      </c>
      <c r="S27" s="1024">
        <f>IF(SUM(S19:S26)=$E$3,SUM(S19:S26),SUM(S19:S26)&amp;"误差"&amp;ROUND(SUM(S19:S26)-E3,2))</f>
        <v>176.57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27</v>
      </c>
      <c r="E31" s="674">
        <f>E27+E30</f>
        <v>176.57</v>
      </c>
      <c r="F31" s="675">
        <f>F27+F30</f>
        <v>176.57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P26" sqref="P26"/>
      <selection pane="topRight" activeCell="P26" sqref="P26"/>
      <selection pane="bottomLeft" activeCell="P26" sqref="P26"/>
      <selection pane="bottomRight" activeCell="L7" sqref="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3415</v>
      </c>
      <c r="D6" s="856">
        <f>SUMIF(项目基本情况!C$12:I$12,C6,项目基本情况!C$14:I$14)</f>
        <v>70</v>
      </c>
      <c r="E6" s="855">
        <f>IF(B6="","",SUMIF(项目基本情况!C$12:I$12,C6,项目基本情况!C$13:I$13))</f>
        <v>52384</v>
      </c>
      <c r="F6" s="64">
        <f>SUMIF(项目基本情况!C$12:I$12,C6,项目基本情况!C$15:I$15)</f>
        <v>18.059999999999999</v>
      </c>
      <c r="G6" s="65">
        <f>IF(ISERROR(ROUND(POWER(1+H6,D6-F6)*(POWER(1+H6,F6)-1)/(POWER(1+H6,D6)-1),3)),0,ROUND(POWER(1+H6,D6-F6)*(POWER(1+H6,F6)-1)/(POWER(1+H6,D6)-1),3))</f>
        <v>0.60599999999999998</v>
      </c>
      <c r="H6" s="730">
        <v>0.05</v>
      </c>
      <c r="I6" s="730">
        <v>5.5E-2</v>
      </c>
      <c r="J6" s="66">
        <v>7.0000000000000007E-2</v>
      </c>
      <c r="K6" s="1028">
        <f>SUMIF('数据-汇总表'!C$19:C$33,A6,'数据-汇总表'!E$19:E$33)</f>
        <v>176.57</v>
      </c>
      <c r="L6" s="731">
        <v>4500</v>
      </c>
      <c r="M6" s="67">
        <f t="shared" ref="M6:M14" si="0">ROUND(K6*L6/10000,0)</f>
        <v>79</v>
      </c>
      <c r="N6" s="729">
        <v>0.75</v>
      </c>
      <c r="O6" s="67" t="str">
        <f>IF($N$5="成新度","——",ROUND(M6*N6,0))</f>
        <v>——</v>
      </c>
      <c r="P6" s="68" t="str">
        <f>IF($N$5="成新度","——",M6-O6)</f>
        <v>——</v>
      </c>
      <c r="Q6" s="732">
        <v>0.15</v>
      </c>
      <c r="R6" s="69">
        <f ca="1">SUMIF('数据-汇总表'!C$19:C$33,A6,'数据-汇总表'!R$19:R$27)</f>
        <v>27</v>
      </c>
      <c r="S6" s="51">
        <f>IF('数据-汇总表'!$I$17="按面积比例",SUMIF('数据-汇总表'!C$19:C$33,A6,'数据-汇总表'!K$19:K$33),SUMIF('数据-汇总表'!C$19:C$33,A6,'数据-汇总表'!N$19:N$33))</f>
        <v>0</v>
      </c>
      <c r="T6" s="1170">
        <f>ROUND($L$14*S6/10000,0)</f>
        <v>0</v>
      </c>
      <c r="U6" s="3426">
        <v>3.5</v>
      </c>
      <c r="V6" s="70">
        <v>0.02</v>
      </c>
      <c r="W6" s="70">
        <v>0.1</v>
      </c>
      <c r="X6" s="1038"/>
      <c r="Y6" s="71">
        <f>N6</f>
        <v>0.75</v>
      </c>
      <c r="Z6" s="72"/>
      <c r="AA6" s="66"/>
      <c r="AB6" s="66"/>
      <c r="AC6" s="1038"/>
      <c r="AD6" s="73"/>
      <c r="AE6" s="1039">
        <f ca="1">IF(AN6="",0,SUMIF(INDIRECT("'"&amp;AN6&amp;"'"&amp;"!E:E"),$AE$5,INDIRECT("'"&amp;AN6&amp;"'"&amp;"!F:F")))</f>
        <v>18.059999999999999</v>
      </c>
      <c r="AF6" s="1346"/>
      <c r="AG6" s="138">
        <f>IF(AF6="",0,AE6-AF6)</f>
        <v>0</v>
      </c>
      <c r="AH6" s="74"/>
      <c r="AI6" s="76">
        <v>365</v>
      </c>
      <c r="AJ6" s="77"/>
      <c r="AK6" s="78">
        <v>5.0000000000000001E-3</v>
      </c>
      <c r="AL6" s="79">
        <v>1.5E-3</v>
      </c>
      <c r="AM6" s="80">
        <v>5.0000000000000001E-3</v>
      </c>
      <c r="AN6" s="1713" t="s">
        <v>3395</v>
      </c>
      <c r="AO6" s="52">
        <f ca="1">SUMIF(INDIRECT("'"&amp;AN6&amp;"'"&amp;"!A:A"),"总价",INDIRECT("'"&amp;AN6&amp;"'"&amp;"!B:B"))</f>
        <v>222.75239999999999</v>
      </c>
      <c r="AP6" s="1714">
        <f>IF(C6="住宅",K6*L6,0)</f>
        <v>794565</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0.60599999999999998</v>
      </c>
      <c r="H16" s="90">
        <f>ROUND(SUMPRODUCT(H6:H13,K6:K13)/SUMPRODUCT((H6:H13&gt;0)*(K6:K13)),3)</f>
        <v>0.05</v>
      </c>
      <c r="I16" s="91"/>
      <c r="J16" s="91"/>
      <c r="K16" s="92">
        <f>SUM(K6:K15)</f>
        <v>176.57</v>
      </c>
      <c r="L16" s="93">
        <f>ROUND(M16*10000/SUM(K6:K14),0)</f>
        <v>4474</v>
      </c>
      <c r="M16" s="93">
        <f>SUM(M6:M14)</f>
        <v>79</v>
      </c>
      <c r="N16" s="94">
        <f>ROUND(SUMPRODUCT(M6:M14,N6:N14)/M16,3)</f>
        <v>0.75</v>
      </c>
      <c r="O16" s="93">
        <f>SUM(O6:O14)</f>
        <v>0</v>
      </c>
      <c r="P16" s="93">
        <f>SUM(P6:P14)</f>
        <v>0</v>
      </c>
      <c r="Q16" s="95">
        <f>ROUND(SUMPRODUCT(Q6:Q13,K6:K13)/SUMPRODUCT((Q6:Q13&gt;0)*(K6:K13)),2)</f>
        <v>0.15</v>
      </c>
      <c r="R16" s="1032">
        <f ca="1">SUM(R6:R13)</f>
        <v>27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1994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0.5</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ROUND(B27*K16,0)</f>
        <v>28251</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0.03</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3416</v>
      </c>
      <c r="B40" s="1076">
        <f ca="1">IF(A40="利息：取LPR",存贷款利率!G1,存贷款利率!G1+C40)</f>
        <v>3.1000000000000003E-2</v>
      </c>
      <c r="C40" s="2812">
        <v>-3.5000000000000001E-3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4" sqref="B14:B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704.83999999999992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1509</v>
      </c>
      <c r="C5" s="2510">
        <f>IF(B5=D14,结果表!H102,ROUND(B5*10000/$B$1,0))</f>
        <v>21409</v>
      </c>
      <c r="D5" s="2510" t="e">
        <f>ROUND(B5*10000/$B$2,0)</f>
        <v>#DIV/0!</v>
      </c>
      <c r="E5" s="2684"/>
      <c r="F5" s="2685"/>
      <c r="G5" s="2685"/>
      <c r="H5" s="2686"/>
      <c r="I5" s="2686"/>
      <c r="J5" s="2686"/>
      <c r="K5" s="2686"/>
    </row>
    <row r="6" spans="1:11" ht="16.5">
      <c r="A6" s="2510" t="s">
        <v>656</v>
      </c>
      <c r="B6" s="2510">
        <f>SUM(G14:G23)</f>
        <v>1509</v>
      </c>
      <c r="C6" s="2510">
        <f>IF(B6=G14,结果表!H108,ROUND(B6*10000/$B$1,0))</f>
        <v>21409</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t="s">
        <v>3413</v>
      </c>
      <c r="H9" s="2686">
        <v>1653</v>
      </c>
      <c r="I9" s="3450">
        <f>H9/B5</f>
        <v>1.0954274353876741</v>
      </c>
      <c r="J9" s="2686"/>
      <c r="K9" s="2686"/>
    </row>
    <row r="10" spans="1:11" ht="16.5">
      <c r="A10" s="2510" t="s">
        <v>654</v>
      </c>
      <c r="B10" s="2510">
        <f>IF(E10="",0,ROUND(B1*(E10*365/G10)/10000,0))</f>
        <v>0</v>
      </c>
      <c r="C10" s="2510" t="s">
        <v>3358</v>
      </c>
      <c r="D10" s="2510" t="s">
        <v>3359</v>
      </c>
      <c r="E10" s="3439"/>
      <c r="F10" s="3443" t="s">
        <v>3360</v>
      </c>
      <c r="G10" s="3440"/>
      <c r="H10" s="2686">
        <f>H11</f>
        <v>23461</v>
      </c>
      <c r="I10" s="3450">
        <f>H11/E14</f>
        <v>1.0963084112149533</v>
      </c>
      <c r="J10" s="2686"/>
      <c r="K10" s="2686"/>
    </row>
    <row r="11" spans="1:11" ht="16.5">
      <c r="A11" s="2510" t="s">
        <v>670</v>
      </c>
      <c r="B11" s="2518"/>
      <c r="C11" s="2684"/>
      <c r="D11" s="2684"/>
      <c r="E11" s="2684"/>
      <c r="F11" s="2685"/>
      <c r="G11" s="2685" t="s">
        <v>3412</v>
      </c>
      <c r="H11" s="2686">
        <v>23461</v>
      </c>
      <c r="I11" s="2686">
        <f>H10/1.1</f>
        <v>21328.181818181816</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176.57</v>
      </c>
      <c r="C14" s="2516"/>
      <c r="D14" s="2516">
        <f>ROUND(E14*B14/10000,0)</f>
        <v>378</v>
      </c>
      <c r="E14" s="2516">
        <v>21400</v>
      </c>
      <c r="F14" s="2516" t="e">
        <f>ROUND(D14*10000/C14,0)</f>
        <v>#DIV/0!</v>
      </c>
      <c r="G14" s="2516">
        <f>D14</f>
        <v>378</v>
      </c>
      <c r="H14" s="2516"/>
      <c r="I14" s="2516"/>
      <c r="J14" s="2685"/>
      <c r="K14" s="2686"/>
    </row>
    <row r="15" spans="1:11" ht="16.5">
      <c r="A15" s="2515" t="s">
        <v>649</v>
      </c>
      <c r="B15" s="2517">
        <v>144.31</v>
      </c>
      <c r="C15" s="2517"/>
      <c r="D15" s="2516">
        <f t="shared" ref="D15:D18" si="0">ROUND(E15*B15/10000,0)</f>
        <v>309</v>
      </c>
      <c r="E15" s="2516">
        <v>21400</v>
      </c>
      <c r="F15" s="2516" t="e">
        <f t="shared" ref="F15:F23" si="1">ROUND(D15*10000/C15,0)</f>
        <v>#DIV/0!</v>
      </c>
      <c r="G15" s="2516">
        <f t="shared" ref="G15:G18" si="2">D15</f>
        <v>309</v>
      </c>
      <c r="H15" s="1329"/>
      <c r="I15" s="2517"/>
      <c r="J15" s="2685"/>
      <c r="K15" s="2686"/>
    </row>
    <row r="16" spans="1:11" ht="16.5">
      <c r="A16" s="2515" t="s">
        <v>648</v>
      </c>
      <c r="B16" s="2517">
        <v>153.65</v>
      </c>
      <c r="C16" s="2517"/>
      <c r="D16" s="2516">
        <f t="shared" si="0"/>
        <v>329</v>
      </c>
      <c r="E16" s="2516">
        <v>21400</v>
      </c>
      <c r="F16" s="2516" t="e">
        <f t="shared" si="1"/>
        <v>#DIV/0!</v>
      </c>
      <c r="G16" s="2516">
        <f t="shared" si="2"/>
        <v>329</v>
      </c>
      <c r="H16" s="1329"/>
      <c r="I16" s="2517"/>
      <c r="J16" s="2686"/>
      <c r="K16" s="2686"/>
    </row>
    <row r="17" spans="1:11" ht="16.5">
      <c r="A17" s="2515" t="s">
        <v>647</v>
      </c>
      <c r="B17" s="2517">
        <v>119.74</v>
      </c>
      <c r="C17" s="2517"/>
      <c r="D17" s="2516">
        <f t="shared" si="0"/>
        <v>256</v>
      </c>
      <c r="E17" s="2516">
        <v>21400</v>
      </c>
      <c r="F17" s="2516" t="e">
        <f t="shared" si="1"/>
        <v>#DIV/0!</v>
      </c>
      <c r="G17" s="2516">
        <f t="shared" si="2"/>
        <v>256</v>
      </c>
      <c r="H17" s="1329"/>
      <c r="I17" s="2517"/>
      <c r="J17" s="2686"/>
      <c r="K17" s="2686"/>
    </row>
    <row r="18" spans="1:11" ht="16.5">
      <c r="A18" s="2515" t="s">
        <v>646</v>
      </c>
      <c r="B18" s="2517">
        <v>110.57</v>
      </c>
      <c r="C18" s="2517"/>
      <c r="D18" s="2516">
        <f t="shared" si="0"/>
        <v>237</v>
      </c>
      <c r="E18" s="2516">
        <v>21400</v>
      </c>
      <c r="F18" s="2516" t="e">
        <f t="shared" si="1"/>
        <v>#DIV/0!</v>
      </c>
      <c r="G18" s="2516">
        <f t="shared" si="2"/>
        <v>237</v>
      </c>
      <c r="H18" s="2517"/>
      <c r="I18" s="2517"/>
      <c r="J18" s="2686"/>
      <c r="K18" s="2686"/>
    </row>
    <row r="19" spans="1:11" ht="16.5">
      <c r="A19" s="2515" t="s">
        <v>645</v>
      </c>
      <c r="B19" s="2517"/>
      <c r="C19" s="2517"/>
      <c r="D19" s="2517"/>
      <c r="E19" s="2516" t="e">
        <f t="shared" ref="E19:E23" si="3">ROUND(D19*10000/B19,0)</f>
        <v>#DIV/0!</v>
      </c>
      <c r="F19" s="2516" t="e">
        <f t="shared" si="1"/>
        <v>#DIV/0!</v>
      </c>
      <c r="G19" s="2517"/>
      <c r="H19" s="2517"/>
      <c r="I19" s="2517"/>
      <c r="J19" s="2686"/>
      <c r="K19" s="2686"/>
    </row>
    <row r="20" spans="1:11" ht="16.5">
      <c r="A20" s="2515" t="s">
        <v>644</v>
      </c>
      <c r="B20" s="2517"/>
      <c r="C20" s="2517"/>
      <c r="D20" s="2517"/>
      <c r="E20" s="2516" t="e">
        <f t="shared" si="3"/>
        <v>#DIV/0!</v>
      </c>
      <c r="F20" s="2516" t="e">
        <f t="shared" si="1"/>
        <v>#DIV/0!</v>
      </c>
      <c r="G20" s="2517"/>
      <c r="H20" s="2517"/>
      <c r="I20" s="2517"/>
      <c r="J20" s="2686"/>
      <c r="K20" s="2686"/>
    </row>
    <row r="21" spans="1:11" ht="16.5">
      <c r="A21" s="2515" t="s">
        <v>643</v>
      </c>
      <c r="B21" s="2517"/>
      <c r="C21" s="2517"/>
      <c r="D21" s="2517"/>
      <c r="E21" s="2516" t="e">
        <f t="shared" si="3"/>
        <v>#DIV/0!</v>
      </c>
      <c r="F21" s="2516" t="e">
        <f t="shared" si="1"/>
        <v>#DIV/0!</v>
      </c>
      <c r="G21" s="2517"/>
      <c r="H21" s="2517"/>
      <c r="I21" s="2517"/>
      <c r="J21" s="2686"/>
      <c r="K21" s="2686"/>
    </row>
    <row r="22" spans="1:11" ht="16.5">
      <c r="A22" s="2515" t="s">
        <v>642</v>
      </c>
      <c r="B22" s="2517"/>
      <c r="C22" s="2517"/>
      <c r="D22" s="2517"/>
      <c r="E22" s="2516" t="e">
        <f t="shared" si="3"/>
        <v>#DIV/0!</v>
      </c>
      <c r="F22" s="2516" t="e">
        <f t="shared" si="1"/>
        <v>#DIV/0!</v>
      </c>
      <c r="G22" s="2517"/>
      <c r="H22" s="2517"/>
      <c r="I22" s="2517"/>
      <c r="J22" s="2686"/>
      <c r="K22" s="2686"/>
    </row>
    <row r="23" spans="1:11" ht="16.5">
      <c r="A23" s="2515" t="s">
        <v>641</v>
      </c>
      <c r="B23" s="2517"/>
      <c r="C23" s="2517"/>
      <c r="D23" s="2517"/>
      <c r="E23" s="2518" t="e">
        <f t="shared" si="3"/>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Normal="100" zoomScaleSheetLayoutView="100" zoomScalePageLayoutView="80" workbookViewId="0">
      <selection activeCell="D32" sqref="D32"/>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3409</v>
      </c>
      <c r="D4" s="1754" t="s">
        <v>3409</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176.57</v>
      </c>
      <c r="M18" s="302">
        <f>IF(C1="",'数据-汇总表'!E3,SUMIF(项目类型,C1,'数据-汇总表'!E17:E26))</f>
        <v>176.57</v>
      </c>
    </row>
    <row r="19" spans="1:36" ht="15">
      <c r="A19" s="1759" t="s">
        <v>1290</v>
      </c>
      <c r="B19" s="1760" t="s">
        <v>1291</v>
      </c>
      <c r="C19" s="134">
        <f ca="1">SUMIF(INDIRECT("'"&amp;C4&amp;"'"&amp;"!A:A"),结果表!B19,INDIRECT("'"&amp;C4&amp;"'"&amp;"!B:B"))</f>
        <v>377.85980000000001</v>
      </c>
      <c r="D19" s="135">
        <f ca="1">SUMIF(INDIRECT("'"&amp;D4&amp;"'"&amp;"!A:A"),结果表!B19,INDIRECT("'"&amp;D4&amp;"'"&amp;"!B:B"))</f>
        <v>377.85980000000001</v>
      </c>
      <c r="E19" s="1759" t="s">
        <v>1292</v>
      </c>
      <c r="F19" s="1760" t="s">
        <v>1291</v>
      </c>
      <c r="G19" s="136">
        <f ca="1">ROUND(C19*$C$18+D19*$D$18,0)</f>
        <v>378</v>
      </c>
      <c r="H19" s="1761" t="s">
        <v>1293</v>
      </c>
      <c r="I19" s="129"/>
      <c r="K19" s="302" t="s">
        <v>1294</v>
      </c>
      <c r="L19" s="302">
        <f>IF(C1="",'数据-汇总表'!D3,SUMIF(项目类型,C1,'数据-汇总表'!D17:D26)+SUMIF(项目类型,C1,'数据-汇总表'!H17:H27))</f>
        <v>27</v>
      </c>
      <c r="M19" s="302">
        <f>IF(C1="",'数据-汇总表'!D3,SUMIF(项目类型,C1,'数据-汇总表'!D17:D26))</f>
        <v>27</v>
      </c>
    </row>
    <row r="20" spans="1:36" ht="15">
      <c r="A20" s="1762"/>
      <c r="B20" s="1024" t="s">
        <v>1295</v>
      </c>
      <c r="C20" s="137">
        <f ca="1">SUMIF(INDIRECT("'"&amp;C4&amp;"'"&amp;"!A:A"),结果表!B20,INDIRECT("'"&amp;C4&amp;"'"&amp;"!B:B"))</f>
        <v>21400</v>
      </c>
      <c r="D20" s="138">
        <f ca="1">SUMIF(INDIRECT("'"&amp;D4&amp;"'"&amp;"!A:A"),结果表!B20,INDIRECT("'"&amp;D4&amp;"'"&amp;"!B:B"))</f>
        <v>21400</v>
      </c>
      <c r="E20" s="1762"/>
      <c r="F20" s="1024" t="s">
        <v>1295</v>
      </c>
      <c r="G20" s="139">
        <f ca="1">ROUND(C20*$C$18+D20*$D$18,0)</f>
        <v>21400</v>
      </c>
      <c r="H20" s="806" t="s">
        <v>1296</v>
      </c>
      <c r="I20" s="129"/>
    </row>
    <row r="21" spans="1:36" ht="15" customHeight="1" thickBot="1">
      <c r="A21" s="826"/>
      <c r="B21" s="1763" t="s">
        <v>1297</v>
      </c>
      <c r="C21" s="717">
        <f ca="1">ROUND(C19*10000/L19,0)</f>
        <v>139948</v>
      </c>
      <c r="D21" s="718">
        <f ca="1">ROUND(D19*10000/L19,0)</f>
        <v>139948</v>
      </c>
      <c r="E21" s="826"/>
      <c r="F21" s="1763" t="s">
        <v>1297</v>
      </c>
      <c r="G21" s="140">
        <f ca="1">ROUND(G19*10000/L19,0)</f>
        <v>140000</v>
      </c>
      <c r="H21" s="1764" t="s">
        <v>1296</v>
      </c>
      <c r="I21" s="129"/>
    </row>
    <row r="22" spans="1:36" ht="15" thickBot="1">
      <c r="A22" s="1686" t="s">
        <v>1298</v>
      </c>
      <c r="B22" s="1765"/>
      <c r="C22" s="1766"/>
      <c r="D22" s="719">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378</v>
      </c>
      <c r="D32" s="1773" t="s">
        <v>3417</v>
      </c>
      <c r="E32" s="129"/>
      <c r="F32" s="129"/>
      <c r="G32" s="129"/>
      <c r="H32" s="129"/>
      <c r="I32" s="129"/>
    </row>
    <row r="33" spans="1:15" ht="15">
      <c r="A33" s="784" t="s">
        <v>1306</v>
      </c>
      <c r="B33" s="1774"/>
      <c r="C33" s="1775" t="s">
        <v>3414</v>
      </c>
      <c r="D33" s="1776" t="s">
        <v>3395</v>
      </c>
      <c r="E33" s="1777" t="s">
        <v>1307</v>
      </c>
      <c r="F33" s="1778" t="str">
        <f>IF(D32="楼面单价","取值（单价）","取值（总价）")</f>
        <v>取值（总价）</v>
      </c>
      <c r="G33" s="129"/>
      <c r="H33" s="129"/>
      <c r="I33" s="129"/>
    </row>
    <row r="34" spans="1:15" ht="15">
      <c r="A34" s="1779"/>
      <c r="B34" s="1780" t="s">
        <v>1308</v>
      </c>
      <c r="C34" s="148">
        <f ca="1">IF(C33="自定义",F34,C32-C35)</f>
        <v>226</v>
      </c>
      <c r="D34" s="859">
        <f ca="1">IF(C33="自定义",ROUND(C34/C32,3),IF(C33="收益比率",SUMIF(INDIRECT("'"&amp;D33&amp;"'"&amp;"!b:b"),"土地收益比率",INDIRECT("'"&amp;D33&amp;"'"&amp;"!c:c")),SUMIF(INDIRECT("'"&amp;D33&amp;"'"&amp;"!b:b"),"土地成本比率",INDIRECT("'"&amp;D33&amp;"'"&amp;"!c:c"))))</f>
        <v>0.59799999999999998</v>
      </c>
      <c r="E34" s="1781" t="s">
        <v>1309</v>
      </c>
      <c r="F34" s="1328"/>
      <c r="G34" s="129"/>
      <c r="H34" s="129"/>
      <c r="I34" s="129"/>
    </row>
    <row r="35" spans="1:15" ht="15.75" thickBot="1">
      <c r="A35" s="1782"/>
      <c r="B35" s="1783" t="s">
        <v>1310</v>
      </c>
      <c r="C35" s="1168">
        <f ca="1">IF(C33="自定义",F35,ROUND(C32*D35,0))</f>
        <v>152</v>
      </c>
      <c r="D35" s="1169">
        <f ca="1">IF(C33="自定义",ROUND(C35/C32,3),IF(C33="收益比率",SUMIF(INDIRECT("'"&amp;D33&amp;"'"&amp;"!b:b"),"建筑物收益比率",INDIRECT("'"&amp;D33&amp;"'"&amp;"!c:c")),SUMIF(INDIRECT("'"&amp;D33&amp;"'"&amp;"!b:b"),"建筑物成本比率",INDIRECT("'"&amp;D33&amp;"'"&amp;"!c:c"))))</f>
        <v>0.40200000000000002</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f ca="1">ROUND(H101*F45,0)</f>
        <v>378</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45790</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4" t="s">
        <v>1340</v>
      </c>
      <c r="L48" s="3604"/>
      <c r="M48" s="3626">
        <f ca="1">H101</f>
        <v>378</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f ca="1">IF(项目基本情况!E8="房地产抵押价值",H107,H109)</f>
        <v>378</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f ca="1">ROUND(D45*'数据-取费表'!B41/(1+'数据-取费表'!C42),0)</f>
        <v>20</v>
      </c>
      <c r="E52" s="2332" t="s">
        <v>1354</v>
      </c>
      <c r="F52" s="2552">
        <f>'数据-取费表'!B41</f>
        <v>5.6000000000000001E-2</v>
      </c>
      <c r="G52" s="2553"/>
      <c r="H52" s="2542"/>
      <c r="I52" s="1805"/>
      <c r="J52" s="2521">
        <v>1</v>
      </c>
      <c r="K52" s="3605" t="s">
        <v>1355</v>
      </c>
      <c r="L52" s="3605"/>
      <c r="M52" s="2523" t="b">
        <f>D48</f>
        <v>0</v>
      </c>
      <c r="N52" s="2521" t="str">
        <f>E48</f>
        <v>销售额×税（费）率</v>
      </c>
      <c r="O52" s="2524">
        <f>F48</f>
        <v>5.6000000000000001E-2</v>
      </c>
    </row>
    <row r="53" spans="1:35" ht="12" customHeight="1">
      <c r="A53" s="2333" t="s">
        <v>1356</v>
      </c>
      <c r="B53" s="3566" t="s">
        <v>2290</v>
      </c>
      <c r="C53" s="3567"/>
      <c r="D53" s="1085">
        <f ca="1">ROUND(D45*'数据-取费表'!B41/(1+'数据-取费表'!C42),0)</f>
        <v>20</v>
      </c>
      <c r="E53" s="2332" t="s">
        <v>1354</v>
      </c>
      <c r="F53" s="2552">
        <f>'数据-取费表'!B41</f>
        <v>5.6000000000000001E-2</v>
      </c>
      <c r="G53" s="2553"/>
      <c r="H53" s="2542"/>
      <c r="I53" s="1805"/>
      <c r="J53" s="2521">
        <v>2</v>
      </c>
      <c r="K53" s="3605" t="s">
        <v>1357</v>
      </c>
      <c r="L53" s="3605"/>
      <c r="M53" s="2523">
        <f t="shared" ref="M53:O54" ca="1" si="0">D55</f>
        <v>0</v>
      </c>
      <c r="N53" s="2521" t="str">
        <f t="shared" si="0"/>
        <v>销售额×税（费）率</v>
      </c>
      <c r="O53" s="2524" t="str">
        <f t="shared" si="0"/>
        <v>免征</v>
      </c>
    </row>
    <row r="54" spans="1:35" ht="12" customHeight="1">
      <c r="A54" s="2333" t="s">
        <v>1358</v>
      </c>
      <c r="B54" s="3566" t="s">
        <v>2291</v>
      </c>
      <c r="C54" s="3567"/>
      <c r="D54" s="1085">
        <f ca="1">C68</f>
        <v>20</v>
      </c>
      <c r="E54" s="327" t="s">
        <v>1359</v>
      </c>
      <c r="F54" s="2552">
        <f>'数据-取费表'!B41</f>
        <v>5.6000000000000001E-2</v>
      </c>
      <c r="G54" s="2553"/>
      <c r="H54" s="2554"/>
      <c r="I54" s="1805"/>
      <c r="J54" s="2521">
        <v>3</v>
      </c>
      <c r="K54" s="3605" t="s">
        <v>1360</v>
      </c>
      <c r="L54" s="3605"/>
      <c r="M54" s="2523">
        <f t="shared" ca="1" si="0"/>
        <v>214</v>
      </c>
      <c r="N54" s="2521" t="str">
        <f t="shared" si="0"/>
        <v>增值额×税（费）率</v>
      </c>
      <c r="O54" s="2525" t="str">
        <f t="shared" si="0"/>
        <v>免征</v>
      </c>
    </row>
    <row r="55" spans="1:35" ht="24" customHeight="1">
      <c r="A55" s="3555" t="s">
        <v>1361</v>
      </c>
      <c r="B55" s="3556"/>
      <c r="C55" s="3556"/>
      <c r="D55" s="2322">
        <f ca="1">IF(H55="个人住宅",0,ROUND(D45*I55,0))</f>
        <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4</v>
      </c>
      <c r="N55" s="2038" t="str">
        <f>E59</f>
        <v>差额计税</v>
      </c>
      <c r="O55" s="2527">
        <f>F59</f>
        <v>0.01</v>
      </c>
    </row>
    <row r="56" spans="1:35" ht="24.75">
      <c r="A56" s="3555" t="s">
        <v>1363</v>
      </c>
      <c r="B56" s="3556"/>
      <c r="C56" s="3556"/>
      <c r="D56" s="2322">
        <f ca="1">IF(H56="个人住宅",D57,D58)</f>
        <v>214</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218</v>
      </c>
      <c r="O57" s="2531"/>
      <c r="P57" s="2688">
        <f ca="1">N57/M49</f>
        <v>0.57671957671957674</v>
      </c>
    </row>
    <row r="58" spans="1:35" ht="24.75">
      <c r="A58" s="2333" t="s">
        <v>1352</v>
      </c>
      <c r="B58" s="3566" t="s">
        <v>1369</v>
      </c>
      <c r="C58" s="3540"/>
      <c r="D58" s="2322">
        <f ca="1">IF(H58="转让取得",C81,C97)</f>
        <v>214</v>
      </c>
      <c r="E58" s="2332" t="s">
        <v>1364</v>
      </c>
      <c r="F58" s="302" t="s">
        <v>28</v>
      </c>
      <c r="G58" s="2553"/>
      <c r="H58" s="2556"/>
      <c r="I58" s="1806"/>
      <c r="J58" s="3605"/>
      <c r="K58" s="3605"/>
      <c r="L58" s="2528" t="s">
        <v>1370</v>
      </c>
      <c r="M58" s="2532"/>
      <c r="N58" s="2533" t="str">
        <f ca="1">NUMBERSTRING(INT(N57*10000),2)&amp;"元整"</f>
        <v>贰佰壹拾捌万元整</v>
      </c>
      <c r="O58" s="2534"/>
    </row>
    <row r="59" spans="1:35" ht="24.75" thickBot="1">
      <c r="A59" s="3608" t="s">
        <v>1371</v>
      </c>
      <c r="B59" s="3609"/>
      <c r="C59" s="3609"/>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f ca="1">M49-N57</f>
        <v>160</v>
      </c>
      <c r="O59" s="2537"/>
    </row>
    <row r="60" spans="1:35" ht="12" customHeight="1">
      <c r="A60" s="1807"/>
      <c r="B60" s="1745"/>
      <c r="C60" s="1745"/>
      <c r="D60" s="1745"/>
      <c r="E60" s="1576"/>
      <c r="F60" s="1806"/>
      <c r="G60" s="1806"/>
      <c r="H60" s="1808"/>
      <c r="I60" s="129"/>
      <c r="J60" s="3607"/>
      <c r="K60" s="3605"/>
      <c r="L60" s="2528" t="s">
        <v>1370</v>
      </c>
      <c r="M60" s="2532"/>
      <c r="N60" s="2533" t="str">
        <f ca="1">NUMBERSTRING(INT(N59*10000),2)&amp;"元整"</f>
        <v>壹佰陆拾万元整</v>
      </c>
      <c r="O60" s="2534"/>
    </row>
    <row r="61" spans="1:35" ht="13.5" thickBot="1">
      <c r="A61" s="3553" t="s">
        <v>1373</v>
      </c>
      <c r="B61" s="3553"/>
      <c r="C61" s="3553"/>
      <c r="D61" s="3553"/>
      <c r="E61" s="3553"/>
      <c r="F61" s="1806"/>
      <c r="G61" s="1806"/>
      <c r="H61" s="1808"/>
      <c r="I61" s="129"/>
      <c r="J61" s="2521">
        <f>J59+1</f>
        <v>7</v>
      </c>
      <c r="K61" s="3605" t="s">
        <v>1374</v>
      </c>
      <c r="L61" s="3605"/>
      <c r="M61" s="2538"/>
      <c r="N61" s="2539">
        <f ca="1">ROUND(N59*10000/'数据-汇总表'!E3,0)</f>
        <v>9062</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f ca="1">ROUND((C64+C65)/(1+'数据-取费表'!C42),0)</f>
        <v>360</v>
      </c>
      <c r="D63" s="167"/>
      <c r="E63" s="168"/>
      <c r="F63" s="1806"/>
      <c r="G63" s="1806"/>
      <c r="H63" s="1808"/>
      <c r="I63" s="129"/>
      <c r="J63" s="3630" t="s">
        <v>1379</v>
      </c>
      <c r="K63" s="1330" t="s">
        <v>1380</v>
      </c>
      <c r="L63" s="1330">
        <f ca="1">IF(M49&gt;10000,M49*0.5%,IF(AND(M49&gt;1000,M49&lt;=10000),M49*1%,IF(AND(M49&gt;100,M49&lt;=1000),M49*3%,IF(AND(M49&gt;10,M49&lt;=100),M49*5%,M49*8%))))</f>
        <v>11.34</v>
      </c>
      <c r="M63" s="302">
        <f ca="1">ROUND(L63,1)</f>
        <v>11.3</v>
      </c>
      <c r="N63" s="2541"/>
      <c r="Z63" s="1750"/>
      <c r="AI63" s="1751"/>
    </row>
    <row r="64" spans="1:35" ht="14.25" customHeight="1">
      <c r="A64" s="169" t="s">
        <v>325</v>
      </c>
      <c r="B64" s="170" t="s">
        <v>1381</v>
      </c>
      <c r="C64" s="2563">
        <f ca="1">D45</f>
        <v>378</v>
      </c>
      <c r="D64" s="170" t="s">
        <v>26</v>
      </c>
      <c r="E64" s="172"/>
      <c r="F64" s="1806"/>
      <c r="G64" s="1806"/>
      <c r="H64" s="1808"/>
      <c r="I64" s="129"/>
      <c r="J64" s="3630"/>
      <c r="K64" s="1330" t="s">
        <v>1382</v>
      </c>
      <c r="L64" s="1330">
        <f ca="1">IF(M49&gt;2000,M49*0.5%,IF(AND(M49&gt;1000,M49&lt;=2000),M49*0.6%,IF(AND(M49&gt;500,M49&lt;=1000),M49*0.7%,IF(AND(M49&gt;200,M49&lt;=500),M49*0.8%,IF(AND(M49&gt;100,M49&lt;=200),M49*0.9%,IF(AND(M49&gt;50,M49&lt;=100),M49*1%,IF(AND(M49&gt;20,M49&lt;=50),M49*1.5%,IF(AND(M49&gt;10,M49&lt;=20),M49*2%,IF(AND(M49&gt;1,M49&lt;=10),M49*2.5%)))))))))</f>
        <v>3.024</v>
      </c>
      <c r="M64" s="302">
        <f t="shared" ref="M64:M65" ca="1" si="1">ROUND(L64,1)</f>
        <v>3</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f ca="1">IF(M49&gt;1000,M49*0.1%,IF(AND(M49&gt;500,M49&lt;=1000),M49*0.5%,IF(AND(M49&gt;50,M49&lt;=500),M49*1%,IF(AND(M49&gt;1,M49&lt;=50),M49*1.5%))))</f>
        <v>3.7800000000000002</v>
      </c>
      <c r="M65" s="302">
        <f t="shared" ca="1" si="1"/>
        <v>3.8</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f ca="1">M49*0.5%</f>
        <v>1.8900000000000001</v>
      </c>
      <c r="M66" s="302">
        <f ca="1">IF(L66&gt;0.5,0.5,ROUND(L66,0))</f>
        <v>0.5</v>
      </c>
      <c r="N66" s="2542" t="s">
        <v>1388</v>
      </c>
      <c r="Z66" s="1750"/>
      <c r="AI66" s="1751"/>
    </row>
    <row r="67" spans="1:35" ht="14.25" customHeight="1">
      <c r="A67" s="173" t="s">
        <v>328</v>
      </c>
      <c r="B67" s="174" t="s">
        <v>1389</v>
      </c>
      <c r="C67" s="2566">
        <f ca="1">C63-C66</f>
        <v>360</v>
      </c>
      <c r="D67" s="170" t="s">
        <v>26</v>
      </c>
      <c r="E67" s="172"/>
      <c r="F67" s="1806"/>
      <c r="G67" s="1806"/>
      <c r="H67" s="1808"/>
      <c r="I67" s="129"/>
      <c r="J67" s="3630"/>
      <c r="K67" s="1330" t="s">
        <v>1390</v>
      </c>
      <c r="L67" s="1330">
        <f ca="1">IF(M49&gt;=10000,(8.25+(M49-10000)*0.01%),IF(AND(M49&gt;=8000,M49&lt;10000),(7.85+(M49-8000)*0.02%),IF(AND(M49&gt;=5000,M49&lt;8000),(6.65+(M49-5000)*0.04%),IF(AND(M49&gt;=2000,M49&lt;5000),(4.25+(PM49-2000)*0.08%),IF(AND(M49&gt;=1000,M49&lt;2000),(2.75+(M49-1000)*0.15%),IF(AND(M49&gt;=100,M49&lt;1000),(0.5+(M49-100)*0.25%),IF(AND(M49&gt;0,M49&lt;100),M49*0.5%)))))))</f>
        <v>1.1950000000000001</v>
      </c>
      <c r="M67" s="302">
        <f ca="1">ROUND(L67*0.9,1)</f>
        <v>1.1000000000000001</v>
      </c>
      <c r="N67" s="2541"/>
      <c r="Z67" s="1750"/>
      <c r="AI67" s="1751"/>
    </row>
    <row r="68" spans="1:35" ht="14.25" customHeight="1" thickBot="1">
      <c r="A68" s="176" t="s">
        <v>329</v>
      </c>
      <c r="B68" s="177" t="s">
        <v>1391</v>
      </c>
      <c r="C68" s="2567">
        <f ca="1">IF(C67&lt;=0,0,ROUND(C67*D68,0))</f>
        <v>20</v>
      </c>
      <c r="D68" s="2568">
        <f>'数据-取费表'!B41</f>
        <v>5.6000000000000001E-2</v>
      </c>
      <c r="E68" s="178"/>
      <c r="F68" s="1806"/>
      <c r="G68" s="1806"/>
      <c r="H68" s="1808"/>
      <c r="I68" s="129"/>
      <c r="J68" s="3630"/>
      <c r="K68" s="1330" t="s">
        <v>1392</v>
      </c>
      <c r="L68" s="1330">
        <f ca="1">IF(M49&gt;10000,M49*0.5%,IF(AND(M49&gt;5000,M49&lt;=10000),M49*1%,IF(AND(M49&gt;1000,M49&lt;=5000),M49*2%,IF(AND(M49&gt;200,M49&lt;=1000),M49*3%,M49*5%))))</f>
        <v>11.34</v>
      </c>
      <c r="M68" s="302">
        <f ca="1">ROUND(L68,1)</f>
        <v>11.3</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f ca="1">ROUND(SUM(M63:M68),0)</f>
        <v>31</v>
      </c>
      <c r="N69" s="2543">
        <f ca="1">M69/M49</f>
        <v>8.2010582010582006E-2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360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358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179</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214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360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358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179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214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f ca="1">H118</f>
        <v>378</v>
      </c>
      <c r="I101" s="129"/>
    </row>
    <row r="102" spans="1:35" ht="18.75" customHeight="1">
      <c r="A102" s="3586" t="s">
        <v>1433</v>
      </c>
      <c r="B102" s="2582" t="s">
        <v>1432</v>
      </c>
      <c r="C102" s="2583">
        <f ca="1">IF(D32="楼面单价",ROUND(C19,0),C19)</f>
        <v>377.85980000000001</v>
      </c>
      <c r="D102" s="2584">
        <f ca="1">IF(D32="楼面单价",ROUND(D19,0),D19)</f>
        <v>377.85980000000001</v>
      </c>
      <c r="E102" s="3627"/>
      <c r="F102" s="3584"/>
      <c r="G102" s="1825" t="s">
        <v>1434</v>
      </c>
      <c r="H102" s="2553">
        <f ca="1">I118</f>
        <v>21408</v>
      </c>
      <c r="I102" s="129"/>
    </row>
    <row r="103" spans="1:35" ht="42.75" customHeight="1">
      <c r="A103" s="3586"/>
      <c r="B103" s="2582" t="s">
        <v>1434</v>
      </c>
      <c r="C103" s="2585">
        <f ca="1">C20</f>
        <v>21400</v>
      </c>
      <c r="D103" s="2586">
        <f ca="1">D20</f>
        <v>21400</v>
      </c>
      <c r="E103" s="3621" t="s">
        <v>1435</v>
      </c>
      <c r="F103" s="3622"/>
      <c r="G103" s="1826" t="s">
        <v>1436</v>
      </c>
      <c r="H103" s="2593">
        <f>IF(D36="正常操作",H104+H105+H106,H105+H106)</f>
        <v>0</v>
      </c>
      <c r="I103" s="129"/>
    </row>
    <row r="104" spans="1:35" ht="18.75" customHeight="1">
      <c r="A104" s="3586" t="s">
        <v>1437</v>
      </c>
      <c r="B104" s="2587" t="s">
        <v>1432</v>
      </c>
      <c r="C104" s="2588">
        <f ca="1">H118</f>
        <v>378</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f ca="1">I118</f>
        <v>21408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f ca="1">IF(E107="——","——",H101-H103)</f>
        <v>378</v>
      </c>
      <c r="I107" s="129"/>
    </row>
    <row r="108" spans="1:35" ht="18.75" customHeight="1">
      <c r="A108" s="129"/>
      <c r="B108" s="129"/>
      <c r="C108" s="129"/>
      <c r="D108" s="129"/>
      <c r="E108" s="3583"/>
      <c r="F108" s="3584"/>
      <c r="G108" s="1825" t="s">
        <v>1434</v>
      </c>
      <c r="H108" s="2553">
        <f ca="1">IF(H107=H101,H102,ROUND(H107*10000/'数据-汇总表'!E3,0))</f>
        <v>21408</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176.57</v>
      </c>
      <c r="C118" s="2327">
        <f>M19</f>
        <v>27</v>
      </c>
      <c r="D118" s="2327">
        <f ca="1">ROUND(IF(D32="总价",C34,E118*B118/10000),0)</f>
        <v>226</v>
      </c>
      <c r="E118" s="2327">
        <f ca="1">ROUND(IF(C33="自定义",IF(D32="楼面单价",C34,D118*10000/B118),I118-G118),0)</f>
        <v>12800</v>
      </c>
      <c r="F118" s="2327">
        <f ca="1">ROUND(IF(D32="总价",C35,G118*B118/10000),0)</f>
        <v>152</v>
      </c>
      <c r="G118" s="2327">
        <f ca="1">ROUND(IF(D32="楼面单价",C35,F118*10000/B118),0)</f>
        <v>8608</v>
      </c>
      <c r="H118" s="2327">
        <f ca="1">ROUND(IF(D32="总价",C32,I118*B118/10000),0)</f>
        <v>378</v>
      </c>
      <c r="I118" s="2327">
        <f ca="1">ROUND(IF(D32="楼面单价",C32,H118*10000/B118),0)</f>
        <v>21408</v>
      </c>
    </row>
    <row r="119" spans="1:27" ht="18.75" customHeight="1">
      <c r="A119" s="3554" t="s">
        <v>1452</v>
      </c>
      <c r="B119" s="3554"/>
      <c r="C119" s="3554"/>
      <c r="D119" s="3594" t="str">
        <f ca="1">NUMBERSTRING(INT(D118*10000),2)&amp;"元整"</f>
        <v>贰佰贰拾陆万元整</v>
      </c>
      <c r="E119" s="3596"/>
      <c r="F119" s="3594" t="str">
        <f ca="1">NUMBERSTRING(INT(F118*10000),2)&amp;"元整"</f>
        <v>壹佰伍拾贰万元整</v>
      </c>
      <c r="G119" s="3596"/>
      <c r="H119" s="3594" t="str">
        <f ca="1">NUMBERSTRING(INT(H118*10000),2)&amp;"元整"</f>
        <v>叁佰柒拾捌万元整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f ca="1">H107</f>
        <v>378</v>
      </c>
      <c r="E122" s="3619"/>
      <c r="F122" s="3619"/>
      <c r="G122" s="3619"/>
      <c r="H122" s="3619"/>
      <c r="I122" s="3620"/>
      <c r="AA122" s="723"/>
    </row>
    <row r="123" spans="1:27" ht="18.75" customHeight="1">
      <c r="A123" s="3554" t="s">
        <v>1452</v>
      </c>
      <c r="B123" s="3554"/>
      <c r="C123" s="3554"/>
      <c r="D123" s="3594" t="str">
        <f ca="1">NUMBERSTRING(INT(D122*10000),2)&amp;"元整"</f>
        <v>叁佰柒拾捌万元整</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38798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2197316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28251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28251</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176.57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176.57</v>
      </c>
      <c r="E19" s="211">
        <f>'数据-取费表'!B31</f>
        <v>200</v>
      </c>
      <c r="F19" s="231"/>
      <c r="G19" s="1854"/>
    </row>
    <row r="20" spans="1:7" s="214" customFormat="1" ht="13.5" customHeight="1">
      <c r="A20" s="255" t="s">
        <v>1493</v>
      </c>
      <c r="B20" s="210" t="s">
        <v>1494</v>
      </c>
      <c r="C20" s="232">
        <f ca="1">ROUND((C5+C19)*F20,0)</f>
        <v>848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2">
        <f ca="1">ROUND(SUM(C23:C25),0)</f>
        <v>1805</v>
      </c>
      <c r="D22" s="235">
        <f ca="1">C26</f>
        <v>8.9999999999999998E-4</v>
      </c>
      <c r="E22" s="236" t="s">
        <v>1498</v>
      </c>
      <c r="F22" s="237">
        <f ca="1">'数据-取费表'!B40</f>
        <v>3.1000000000000003E-2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1779</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4365</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4365</v>
      </c>
      <c r="D28" s="235"/>
      <c r="E28" s="236"/>
      <c r="F28" s="246"/>
      <c r="G28" s="247"/>
    </row>
    <row r="29" spans="1:7" s="214" customFormat="1" ht="13.5" customHeight="1">
      <c r="A29" s="778"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38706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4</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78" t="s">
        <v>353</v>
      </c>
      <c r="B37" s="215" t="s">
        <v>1531</v>
      </c>
      <c r="C37" s="249">
        <f ca="1">ROUND(E37*D37*F34/10000,0)</f>
        <v>3</v>
      </c>
      <c r="D37" s="217">
        <f ca="1">D19</f>
        <v>176.57</v>
      </c>
      <c r="E37" s="249">
        <f>'数据-取费表'!B35</f>
        <v>180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3</v>
      </c>
      <c r="D41" s="235">
        <f ca="1">C44</f>
        <v>8.9999999999999998E-4</v>
      </c>
      <c r="E41" s="236" t="s">
        <v>1539</v>
      </c>
      <c r="F41" s="237">
        <f ca="1">F22</f>
        <v>3.1000000000000003E-2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8.9999999999999998E-4</v>
      </c>
      <c r="D44" s="238"/>
      <c r="E44" s="238"/>
      <c r="F44" s="239"/>
      <c r="G44" s="3636"/>
    </row>
    <row r="45" spans="1:7" s="214" customFormat="1" ht="13.5" customHeight="1">
      <c r="A45" s="255" t="s">
        <v>1547</v>
      </c>
      <c r="B45" s="244" t="s">
        <v>1513</v>
      </c>
      <c r="C45" s="245">
        <f ca="1">C46</f>
        <v>14</v>
      </c>
      <c r="D45" s="235">
        <f ca="1">C47</f>
        <v>4.4999999999999997E-3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123</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38798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101.9483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5774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35314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35314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35314</v>
      </c>
      <c r="D10" s="843">
        <f ca="1">IF(B1="",'数据-汇总表'!E6,IF(INDIRECT("'数据-取费表'!c"&amp;$G$1)="住宅",INDIRECT("'数据-取费表'!s"&amp;$G$1),INDIRECT("'数据-取费表'!k"&amp;$G$1)+INDIRECT("'数据-取费表'!s"&amp;$G$1)))</f>
        <v>176.57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35314</v>
      </c>
      <c r="D19" s="847">
        <f ca="1">D9+D10</f>
        <v>176.57</v>
      </c>
      <c r="E19" s="211">
        <f>'数据-取费表'!B31</f>
        <v>200</v>
      </c>
      <c r="F19" s="231"/>
      <c r="G19" s="1854"/>
    </row>
    <row r="20" spans="1:7" s="214" customFormat="1" ht="13.5" customHeight="1">
      <c r="A20" s="255" t="s">
        <v>1574</v>
      </c>
      <c r="B20" s="210" t="s">
        <v>1575</v>
      </c>
      <c r="C20" s="232">
        <f ca="1">ROUND((C5+C19)*F20,0)</f>
        <v>2119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5">
        <f ca="1">ROUND(SUM(C23:C25),0)</f>
        <v>4512</v>
      </c>
      <c r="D22" s="235">
        <f ca="1">C26</f>
        <v>8.9999999999999998E-4</v>
      </c>
      <c r="E22" s="236" t="s">
        <v>1579</v>
      </c>
      <c r="F22" s="237">
        <f ca="1">'数据-取费表'!B40</f>
        <v>3.1000000000000003E-2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2223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2223</v>
      </c>
      <c r="D24" s="238"/>
      <c r="E24" s="238"/>
      <c r="F24" s="239"/>
      <c r="G24" s="240" t="s">
        <v>1586</v>
      </c>
    </row>
    <row r="25" spans="1:7" s="214" customFormat="1" ht="24">
      <c r="A25" s="778" t="s">
        <v>1476</v>
      </c>
      <c r="B25" s="215" t="s">
        <v>1587</v>
      </c>
      <c r="C25" s="1126">
        <f ca="1">ROUND(IF('数据-取费表'!B22&lt;=1,C20*F22*'数据-取费表'!B22/2,C20*(POWER((1+F22),'数据-取费表'!B22/2)-1)),0)</f>
        <v>66</v>
      </c>
      <c r="D25" s="238"/>
      <c r="E25" s="241"/>
      <c r="F25" s="239"/>
      <c r="G25" s="242" t="s">
        <v>1588</v>
      </c>
    </row>
    <row r="26" spans="1:7" s="214" customFormat="1">
      <c r="A26" s="778"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10912</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ROUND((C5+C19+C20)*F27,0)</f>
        <v>10912</v>
      </c>
      <c r="D28" s="235"/>
      <c r="E28" s="236"/>
      <c r="F28" s="246"/>
      <c r="G28" s="247"/>
    </row>
    <row r="29" spans="1:7" s="214" customFormat="1" ht="13.5" customHeight="1">
      <c r="A29" s="778"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96753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921695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794565</v>
      </c>
      <c r="D34" s="217"/>
      <c r="E34" s="220"/>
      <c r="F34" s="257"/>
      <c r="G34" s="219"/>
    </row>
    <row r="35" spans="1:7" ht="13.5" customHeight="1">
      <c r="A35" s="778" t="s">
        <v>351</v>
      </c>
      <c r="B35" s="215" t="s">
        <v>1527</v>
      </c>
      <c r="C35" s="220">
        <f ca="1">ROUND(C34*F35,0)</f>
        <v>39728</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39728</v>
      </c>
      <c r="D36" s="220"/>
      <c r="E36" s="220"/>
      <c r="F36" s="259">
        <f>'数据-取费表'!B34</f>
        <v>0.05</v>
      </c>
      <c r="G36" s="260" t="s">
        <v>1530</v>
      </c>
    </row>
    <row r="37" spans="1:7" s="258" customFormat="1" ht="13.5" customHeight="1">
      <c r="A37" s="778" t="s">
        <v>353</v>
      </c>
      <c r="B37" s="215" t="s">
        <v>1531</v>
      </c>
      <c r="C37" s="249">
        <f ca="1">ROUND(E37*D37,0)</f>
        <v>31783</v>
      </c>
      <c r="D37" s="217">
        <f ca="1">D19</f>
        <v>176.57</v>
      </c>
      <c r="E37" s="249">
        <f>'数据-取费表'!B35</f>
        <v>180</v>
      </c>
      <c r="F37" s="259"/>
      <c r="G37" s="261"/>
    </row>
    <row r="38" spans="1:7" ht="13.5" customHeight="1">
      <c r="A38" s="778" t="s">
        <v>354</v>
      </c>
      <c r="B38" s="215" t="s">
        <v>1533</v>
      </c>
      <c r="C38" s="220">
        <f ca="1">ROUND(C34*F38,0)</f>
        <v>15891</v>
      </c>
      <c r="D38" s="220"/>
      <c r="E38" s="220"/>
      <c r="F38" s="259">
        <f>'数据-取费表'!B36</f>
        <v>0.02</v>
      </c>
      <c r="G38" s="219" t="s">
        <v>1528</v>
      </c>
    </row>
    <row r="39" spans="1:7" s="214" customFormat="1" ht="13.5" customHeight="1">
      <c r="A39" s="255" t="s">
        <v>1534</v>
      </c>
      <c r="B39" s="210" t="s">
        <v>1535</v>
      </c>
      <c r="C39" s="232">
        <f ca="1">ROUND(C33*F20,0)</f>
        <v>27651</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29430</v>
      </c>
      <c r="D41" s="235">
        <f ca="1">C44</f>
        <v>8.9999999999999998E-4</v>
      </c>
      <c r="E41" s="236" t="s">
        <v>1539</v>
      </c>
      <c r="F41" s="237">
        <f ca="1">F22</f>
        <v>3.1000000000000003E-2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28573</v>
      </c>
      <c r="D42" s="238"/>
      <c r="E42" s="238"/>
      <c r="F42" s="239"/>
      <c r="G42" s="3634" t="s">
        <v>1591</v>
      </c>
    </row>
    <row r="43" spans="1:7" ht="13.5" customHeight="1">
      <c r="A43" s="778" t="s">
        <v>347</v>
      </c>
      <c r="B43" s="215" t="s">
        <v>1545</v>
      </c>
      <c r="C43" s="238">
        <f ca="1">ROUND(IF('数据-取费表'!B22&lt;=1,C39*F22*'数据-取费表'!B20/2,C39*(POWER((1+F22),'数据-取费表'!B20/2)-1)),0)</f>
        <v>857</v>
      </c>
      <c r="D43" s="238"/>
      <c r="E43" s="238"/>
      <c r="F43" s="239"/>
      <c r="G43" s="3635"/>
    </row>
    <row r="44" spans="1:7" ht="13.5" customHeight="1">
      <c r="A44" s="778" t="s">
        <v>348</v>
      </c>
      <c r="B44" s="215" t="s">
        <v>1546</v>
      </c>
      <c r="C44" s="238">
        <f ca="1">ROUND(IF('数据-取费表'!B22&lt;=1,C40*F22*'数据-取费表'!B20/2,C40*(POWER((1+F22),'数据-取费表'!B20/2)-1)),4)</f>
        <v>8.9999999999999998E-4</v>
      </c>
      <c r="D44" s="238"/>
      <c r="E44" s="238"/>
      <c r="F44" s="239"/>
      <c r="G44" s="3636"/>
    </row>
    <row r="45" spans="1:7" s="214" customFormat="1" ht="13.5" customHeight="1">
      <c r="A45" s="255" t="s">
        <v>1547</v>
      </c>
      <c r="B45" s="244" t="s">
        <v>1513</v>
      </c>
      <c r="C45" s="245">
        <f ca="1">C46</f>
        <v>142402</v>
      </c>
      <c r="D45" s="235">
        <f ca="1">C47</f>
        <v>4.4999999999999997E-3</v>
      </c>
      <c r="E45" s="236" t="s">
        <v>1539</v>
      </c>
      <c r="F45" s="246">
        <f ca="1">F27</f>
        <v>0.15</v>
      </c>
      <c r="G45" s="247" t="s">
        <v>1548</v>
      </c>
    </row>
    <row r="46" spans="1:7" s="214" customFormat="1" ht="13.5" customHeight="1">
      <c r="A46" s="778" t="s">
        <v>346</v>
      </c>
      <c r="B46" s="248" t="s">
        <v>1549</v>
      </c>
      <c r="C46" s="249">
        <f ca="1">ROUND((C33+C39)*F27,0)</f>
        <v>142402</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1230306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922730</v>
      </c>
      <c r="D51" s="232"/>
      <c r="E51" s="232"/>
      <c r="F51" s="264"/>
      <c r="G51" s="234" t="s">
        <v>1560</v>
      </c>
    </row>
    <row r="52" spans="1:7" s="208" customFormat="1" ht="16.5" thickBot="1">
      <c r="A52" s="265" t="s">
        <v>1561</v>
      </c>
      <c r="B52" s="266"/>
      <c r="C52" s="267">
        <f ca="1">C31+C51</f>
        <v>1019483</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32515</v>
      </c>
      <c r="C2" s="276" t="s">
        <v>1595</v>
      </c>
      <c r="D2" s="276"/>
      <c r="E2" s="2804"/>
      <c r="F2" s="2804"/>
      <c r="G2" s="2804"/>
      <c r="H2" s="2804"/>
      <c r="I2" s="2804"/>
      <c r="J2" s="2804"/>
      <c r="K2" s="2804"/>
    </row>
    <row r="3" spans="1:33" ht="18" customHeight="1" thickBot="1">
      <c r="A3" s="203" t="s">
        <v>1464</v>
      </c>
      <c r="B3" s="204">
        <f ca="1">ROUND(B2*10000/IF(C1="",'数据-汇总表'!E3,INDIRECT("'数据-取费表'!K"&amp;$K$1)),0)</f>
        <v>1841479</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176.57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176.57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-28247</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176.57</v>
      </c>
      <c r="E20" s="21">
        <f>'数据-取费表'!B28</f>
        <v>200</v>
      </c>
      <c r="F20" s="802"/>
      <c r="G20" s="12"/>
      <c r="H20" s="807"/>
      <c r="I20" s="807"/>
      <c r="J20" s="807"/>
      <c r="K20" s="808"/>
    </row>
    <row r="21" spans="1:33" s="801" customFormat="1" ht="13.5" customHeight="1">
      <c r="A21" s="788" t="s">
        <v>357</v>
      </c>
      <c r="B21" s="811" t="s">
        <v>1628</v>
      </c>
      <c r="C21" s="812">
        <f ca="1">C16+C17+C18</f>
        <v>-28247</v>
      </c>
      <c r="D21" s="813"/>
      <c r="E21" s="281"/>
      <c r="F21" s="281"/>
      <c r="G21" s="131" t="s">
        <v>1629</v>
      </c>
      <c r="H21" s="805"/>
      <c r="I21" s="805"/>
      <c r="J21" s="805"/>
      <c r="K21" s="806"/>
    </row>
    <row r="22" spans="1:33" s="801" customFormat="1" ht="13.5" customHeight="1">
      <c r="A22" s="788" t="s">
        <v>1601</v>
      </c>
      <c r="B22" s="811" t="s">
        <v>1630</v>
      </c>
      <c r="C22" s="812">
        <f ca="1">ROUND(C21*F22,0)</f>
        <v>-847</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0.03</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3.1000000000000003E-2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-4364</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-4364</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32515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3.1000000000000003E-2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1" t="s">
        <v>3361</v>
      </c>
      <c r="E2" s="3442"/>
      <c r="F2" s="2844"/>
      <c r="G2" s="2845"/>
      <c r="H2" s="2846"/>
      <c r="I2" s="2847"/>
      <c r="J2" s="3648" t="s">
        <v>2319</v>
      </c>
      <c r="K2" s="3649"/>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50" t="s">
        <v>2329</v>
      </c>
      <c r="K3" s="3651"/>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50" t="s">
        <v>2331</v>
      </c>
      <c r="K4" s="3651"/>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56" t="s">
        <v>2335</v>
      </c>
      <c r="B6" s="3657"/>
      <c r="C6" s="3658"/>
      <c r="D6" s="2868"/>
      <c r="E6" s="2869"/>
      <c r="F6" s="2870"/>
      <c r="G6" s="2871"/>
      <c r="H6" s="2846"/>
      <c r="I6" s="2847"/>
      <c r="J6" s="3642">
        <v>1</v>
      </c>
      <c r="K6" s="3643"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42"/>
      <c r="K7" s="3644"/>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59" t="s">
        <v>2349</v>
      </c>
      <c r="C8" s="3660"/>
      <c r="D8" s="2887" t="s">
        <v>2350</v>
      </c>
      <c r="E8" s="2888" t="s">
        <v>2351</v>
      </c>
      <c r="F8" s="2889" t="s">
        <v>2352</v>
      </c>
      <c r="G8" s="2890"/>
      <c r="H8" s="2846"/>
      <c r="I8" s="2847"/>
      <c r="J8" s="3642"/>
      <c r="K8" s="3644"/>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59" t="s">
        <v>2355</v>
      </c>
      <c r="C9" s="3660"/>
      <c r="D9" s="2887">
        <f>ROUND(D6*E9,0)</f>
        <v>0</v>
      </c>
      <c r="E9" s="2891"/>
      <c r="F9" s="2892" t="s">
        <v>2356</v>
      </c>
      <c r="G9" s="2871"/>
      <c r="H9" s="2846"/>
      <c r="I9" s="2847"/>
      <c r="J9" s="3642"/>
      <c r="K9" s="3644"/>
      <c r="L9" s="2881" t="s">
        <v>2357</v>
      </c>
      <c r="M9" s="2882"/>
      <c r="N9" s="2858"/>
      <c r="O9" s="2883"/>
      <c r="P9" s="2883"/>
      <c r="Q9" s="2884">
        <v>365</v>
      </c>
      <c r="R9" s="2885">
        <f t="shared" si="0"/>
        <v>0</v>
      </c>
      <c r="S9" s="2839"/>
      <c r="T9" s="2839"/>
      <c r="U9" s="2839"/>
      <c r="V9" s="2847"/>
    </row>
    <row r="10" spans="1:22" s="2851" customFormat="1" ht="13.15" customHeight="1">
      <c r="A10" s="2886">
        <v>2</v>
      </c>
      <c r="B10" s="3659" t="s">
        <v>2358</v>
      </c>
      <c r="C10" s="3660"/>
      <c r="D10" s="2887">
        <f>ROUND(D6*E10,0)</f>
        <v>0</v>
      </c>
      <c r="E10" s="2891"/>
      <c r="F10" s="2892" t="s">
        <v>2359</v>
      </c>
      <c r="G10" s="2871"/>
      <c r="H10" s="2846"/>
      <c r="I10" s="2847"/>
      <c r="J10" s="3642"/>
      <c r="K10" s="3644"/>
      <c r="L10" s="2881" t="s">
        <v>2360</v>
      </c>
      <c r="M10" s="2882"/>
      <c r="N10" s="2858"/>
      <c r="O10" s="2883"/>
      <c r="P10" s="2883"/>
      <c r="Q10" s="2884">
        <v>365</v>
      </c>
      <c r="R10" s="2885">
        <f t="shared" si="0"/>
        <v>0</v>
      </c>
      <c r="S10" s="2839"/>
      <c r="T10" s="2839"/>
      <c r="U10" s="2839"/>
      <c r="V10" s="2847"/>
    </row>
    <row r="11" spans="1:22" s="2851" customFormat="1" ht="13.15" customHeight="1">
      <c r="A11" s="2886">
        <v>3</v>
      </c>
      <c r="B11" s="3659" t="s">
        <v>2361</v>
      </c>
      <c r="C11" s="3660"/>
      <c r="D11" s="2887">
        <f>D12+D14+D15+D16</f>
        <v>0</v>
      </c>
      <c r="E11" s="2893" t="e">
        <f>D11/D6</f>
        <v>#DIV/0!</v>
      </c>
      <c r="F11" s="2889"/>
      <c r="G11" s="2890"/>
      <c r="H11" s="2846"/>
      <c r="I11" s="2847"/>
      <c r="J11" s="3642"/>
      <c r="K11" s="3644"/>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52" t="s">
        <v>2364</v>
      </c>
      <c r="C12" s="3653"/>
      <c r="D12" s="2895">
        <f>ROUND(D13*1.2%*(1-30%),0)</f>
        <v>0</v>
      </c>
      <c r="E12" s="2896">
        <v>1.2E-2</v>
      </c>
      <c r="F12" s="2889" t="s">
        <v>2365</v>
      </c>
      <c r="G12" s="2890"/>
      <c r="H12" s="2846"/>
      <c r="I12" s="2847"/>
      <c r="J12" s="3642"/>
      <c r="K12" s="3644"/>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42"/>
      <c r="K13" s="3644"/>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52" t="s">
        <v>2370</v>
      </c>
      <c r="C14" s="3653"/>
      <c r="D14" s="2895">
        <f>ROUND(E14*B5/10000,0)</f>
        <v>0</v>
      </c>
      <c r="E14" s="2884"/>
      <c r="F14" s="2889" t="s">
        <v>2371</v>
      </c>
      <c r="G14" s="2890"/>
      <c r="H14" s="2846"/>
      <c r="I14" s="2847"/>
      <c r="J14" s="3642"/>
      <c r="K14" s="3645"/>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52" t="s">
        <v>2374</v>
      </c>
      <c r="C15" s="3653"/>
      <c r="D15" s="2895">
        <f>ROUND(D6*E15,0)</f>
        <v>0</v>
      </c>
      <c r="E15" s="2896">
        <v>5.5E-2</v>
      </c>
      <c r="F15" s="2889" t="s">
        <v>2375</v>
      </c>
      <c r="G15" s="2871"/>
      <c r="H15" s="2846"/>
      <c r="I15" s="2847"/>
      <c r="J15" s="3642">
        <v>2</v>
      </c>
      <c r="K15" s="3643"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52" t="s">
        <v>2383</v>
      </c>
      <c r="C16" s="3653"/>
      <c r="D16" s="2906">
        <f>D6*E16</f>
        <v>0</v>
      </c>
      <c r="E16" s="2907"/>
      <c r="F16" s="2892" t="s">
        <v>2384</v>
      </c>
      <c r="G16" s="2871"/>
      <c r="H16" s="2846"/>
      <c r="I16" s="2847"/>
      <c r="J16" s="3642"/>
      <c r="K16" s="3644"/>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2386</v>
      </c>
      <c r="C17" s="3655"/>
      <c r="D17" s="2909">
        <f>ROUND(D6*E17,0)</f>
        <v>0</v>
      </c>
      <c r="E17" s="2910"/>
      <c r="F17" s="2911" t="s">
        <v>2387</v>
      </c>
      <c r="G17" s="2871"/>
      <c r="H17" s="2846"/>
      <c r="I17" s="2847"/>
      <c r="J17" s="3642"/>
      <c r="K17" s="3644"/>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42"/>
      <c r="K18" s="3644"/>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42"/>
      <c r="K19" s="3645"/>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42"/>
      <c r="K21" s="3644"/>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42"/>
      <c r="K22" s="3644"/>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42"/>
      <c r="K23" s="3644"/>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42"/>
      <c r="K24" s="3645"/>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46">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48" t="s">
        <v>2319</v>
      </c>
      <c r="K32" s="3649"/>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50" t="s">
        <v>2329</v>
      </c>
      <c r="K33" s="3651"/>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50" t="s">
        <v>2331</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42">
        <v>1</v>
      </c>
      <c r="K36" s="3643"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42"/>
      <c r="K40" s="3645"/>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222.75239999999999</v>
      </c>
      <c r="C2" s="1870" t="s">
        <v>1651</v>
      </c>
      <c r="D2" s="1871" t="s">
        <v>1652</v>
      </c>
      <c r="E2" s="2605">
        <f>SUM(E6:E13)</f>
        <v>176.57</v>
      </c>
      <c r="F2" s="2705"/>
      <c r="G2" s="1487"/>
      <c r="H2" s="1487"/>
      <c r="I2" s="1487"/>
      <c r="J2" s="1487"/>
      <c r="K2" s="1487"/>
      <c r="L2" s="1487"/>
      <c r="M2" s="1487"/>
      <c r="N2" s="1487"/>
      <c r="O2" s="1487"/>
      <c r="P2" s="1487"/>
      <c r="Q2" s="1487"/>
      <c r="R2" s="1487"/>
      <c r="S2" s="1487"/>
    </row>
    <row r="3" spans="1:22" ht="15.75">
      <c r="A3" s="1868" t="s">
        <v>686</v>
      </c>
      <c r="B3" s="2599">
        <f ca="1">ROUND(B2*10000/E2,0)</f>
        <v>12616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222.75239999999999</v>
      </c>
      <c r="C6" s="1870" t="s">
        <v>1651</v>
      </c>
      <c r="D6" s="2707"/>
      <c r="E6" s="2604">
        <f>IF(OR(A6=0,F6="否"),0,'数据-取费表'!K6+'数据-取费表'!S6)</f>
        <v>176.57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176.57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I40" sqref="I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3403</v>
      </c>
      <c r="F1" s="1877" t="s">
        <v>3404</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377.85980000000001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21400</v>
      </c>
      <c r="C3" s="354" t="s">
        <v>1768</v>
      </c>
      <c r="D3" s="353">
        <f>IF(D1="",'数据-汇总表'!E3,SUMIF('数据-汇总表'!$C19:$C33,D1,'数据-汇总表'!$E19:$E33))</f>
        <v>176.57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45790</v>
      </c>
      <c r="D7" s="365">
        <v>100</v>
      </c>
      <c r="E7" s="366">
        <f>C7</f>
        <v>45790</v>
      </c>
      <c r="F7" s="367">
        <f>SUMIF(58:58,YEAR(E7)&amp;"-"&amp;MONTH(E7),59:59)</f>
        <v>100</v>
      </c>
      <c r="G7" s="366">
        <f>E7</f>
        <v>45790</v>
      </c>
      <c r="H7" s="365">
        <f>SUMIF(58:58,YEAR(G7)&amp;"-"&amp;MONTH(G7),59:59)</f>
        <v>100</v>
      </c>
      <c r="I7" s="366">
        <f>G7</f>
        <v>45790</v>
      </c>
      <c r="J7" s="365">
        <f>SUMIF(58:58,YEAR(I7)&amp;"-"&amp;MONTH(I7),59:59)</f>
        <v>100</v>
      </c>
      <c r="K7" s="560"/>
      <c r="L7" s="2715"/>
      <c r="M7" s="2716"/>
      <c r="N7" s="2716"/>
      <c r="O7" s="2716"/>
      <c r="P7" s="3702" t="s">
        <v>1680</v>
      </c>
      <c r="Q7" s="3704"/>
      <c r="R7" s="699" t="s">
        <v>14</v>
      </c>
      <c r="S7" s="700">
        <f t="shared" ref="S7:S15" si="0">F7</f>
        <v>100</v>
      </c>
      <c r="T7" s="699" t="s">
        <v>14</v>
      </c>
      <c r="U7" s="700">
        <f t="shared" ref="U7:U15" si="1">H7</f>
        <v>100</v>
      </c>
      <c r="V7" s="699" t="s">
        <v>14</v>
      </c>
      <c r="W7" s="700">
        <f t="shared" ref="W7:W15" si="2">J7</f>
        <v>100</v>
      </c>
      <c r="X7" s="701"/>
      <c r="Y7" s="3702" t="s">
        <v>1680</v>
      </c>
      <c r="Z7" s="3703"/>
      <c r="AA7" s="702">
        <f>D7/F7</f>
        <v>1</v>
      </c>
      <c r="AB7" s="702">
        <f>D7/H7</f>
        <v>1</v>
      </c>
      <c r="AC7" s="702">
        <f>D7/J7</f>
        <v>1</v>
      </c>
    </row>
    <row r="8" spans="1:29" s="108" customFormat="1" ht="15.75" thickBot="1">
      <c r="A8" s="362" t="s">
        <v>1681</v>
      </c>
      <c r="B8" s="363"/>
      <c r="C8" s="368" t="s">
        <v>3406</v>
      </c>
      <c r="D8" s="365">
        <v>100</v>
      </c>
      <c r="E8" s="368" t="s">
        <v>3406</v>
      </c>
      <c r="F8" s="367">
        <f>SUMIF(61:61,E8,62:62)-SUMIF(61:61,C8,62:62)+100</f>
        <v>100</v>
      </c>
      <c r="G8" s="368" t="s">
        <v>3406</v>
      </c>
      <c r="H8" s="365">
        <f>SUMIF(61:61,G8,62:62)-SUMIF(61:61,C8,62:62)+100</f>
        <v>100</v>
      </c>
      <c r="I8" s="368" t="s">
        <v>3406</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3411</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3407</v>
      </c>
      <c r="D16" s="399"/>
      <c r="E16" s="398" t="s">
        <v>3407</v>
      </c>
      <c r="F16" s="400"/>
      <c r="G16" s="398" t="s">
        <v>3407</v>
      </c>
      <c r="H16" s="401"/>
      <c r="I16" s="398" t="s">
        <v>3407</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3407</v>
      </c>
      <c r="D18" s="401"/>
      <c r="E18" s="398" t="s">
        <v>3407</v>
      </c>
      <c r="F18" s="404"/>
      <c r="G18" s="398" t="s">
        <v>3407</v>
      </c>
      <c r="H18" s="399"/>
      <c r="I18" s="398" t="s">
        <v>3407</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3407</v>
      </c>
      <c r="D20" s="399"/>
      <c r="E20" s="398" t="s">
        <v>3407</v>
      </c>
      <c r="F20" s="400"/>
      <c r="G20" s="398" t="s">
        <v>3407</v>
      </c>
      <c r="H20" s="399"/>
      <c r="I20" s="398" t="s">
        <v>3407</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3408</v>
      </c>
      <c r="D22" s="399"/>
      <c r="E22" s="1899" t="s">
        <v>3408</v>
      </c>
      <c r="F22" s="400"/>
      <c r="G22" s="1899" t="s">
        <v>3408</v>
      </c>
      <c r="H22" s="399"/>
      <c r="I22" s="1899" t="s">
        <v>3408</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3407</v>
      </c>
      <c r="D24" s="399"/>
      <c r="E24" s="398" t="s">
        <v>3407</v>
      </c>
      <c r="F24" s="400"/>
      <c r="G24" s="398" t="s">
        <v>3407</v>
      </c>
      <c r="H24" s="399"/>
      <c r="I24" s="398" t="s">
        <v>3407</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176.57</v>
      </c>
      <c r="D33" s="127">
        <v>100</v>
      </c>
      <c r="E33" s="381">
        <v>100</v>
      </c>
      <c r="F33" s="376">
        <f>LOOKUP(E33,103:103,104:104)-LOOKUP(C33,103:103,104:104)+100</f>
        <v>100</v>
      </c>
      <c r="G33" s="380">
        <v>100</v>
      </c>
      <c r="H33" s="127">
        <f>LOOKUP(G33,103:103,104:104)-LOOKUP(C33,103:103,104:104)+100</f>
        <v>100</v>
      </c>
      <c r="I33" s="380">
        <v>100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21400</v>
      </c>
      <c r="F47" s="1155"/>
      <c r="G47" s="1156">
        <f>E47</f>
        <v>21400</v>
      </c>
      <c r="H47" s="1157"/>
      <c r="I47" s="1154">
        <f>E47</f>
        <v>21400</v>
      </c>
      <c r="J47" s="1157"/>
      <c r="K47" s="712"/>
      <c r="L47" s="2722"/>
      <c r="M47" s="2723"/>
      <c r="N47" s="2714"/>
      <c r="O47" s="2723"/>
      <c r="P47" s="3666" t="str">
        <f>A47</f>
        <v>成交单价（元/平方米）</v>
      </c>
      <c r="Q47" s="3666"/>
      <c r="R47" s="3697">
        <f>E47</f>
        <v>21400</v>
      </c>
      <c r="S47" s="3697"/>
      <c r="T47" s="3697">
        <f>G47</f>
        <v>21400</v>
      </c>
      <c r="U47" s="3697"/>
      <c r="V47" s="3697">
        <f>I47</f>
        <v>21400</v>
      </c>
      <c r="W47" s="3697"/>
      <c r="X47" s="688"/>
      <c r="Y47" s="710"/>
      <c r="Z47" s="688"/>
      <c r="AA47" s="688"/>
      <c r="AB47" s="688"/>
      <c r="AC47" s="688"/>
    </row>
    <row r="48" spans="1:29" ht="15.75" thickBot="1">
      <c r="A48" s="437" t="s">
        <v>1793</v>
      </c>
      <c r="B48" s="438"/>
      <c r="C48" s="1158">
        <f>R49</f>
        <v>21400</v>
      </c>
      <c r="D48" s="2315" t="s">
        <v>2137</v>
      </c>
      <c r="E48" s="1159">
        <f>R48</f>
        <v>21400</v>
      </c>
      <c r="F48" s="2316"/>
      <c r="G48" s="1158">
        <f>T48</f>
        <v>21400</v>
      </c>
      <c r="H48" s="2316"/>
      <c r="I48" s="1159">
        <f>V48</f>
        <v>21400</v>
      </c>
      <c r="J48" s="2316"/>
      <c r="K48" s="2318">
        <f>F48+H48+J48</f>
        <v>0</v>
      </c>
      <c r="L48" s="2722"/>
      <c r="M48" s="2723"/>
      <c r="N48" s="2714"/>
      <c r="O48" s="2723"/>
      <c r="P48" s="3666" t="str">
        <f>A48</f>
        <v>比较价值（元/平方米）</v>
      </c>
      <c r="Q48" s="3666"/>
      <c r="R48" s="3667">
        <f>IF(F1="售价",ROUND(PRODUCT(R47,AA7:AA46),0),ROUND(PRODUCT(R47,AA7:AA46),1))</f>
        <v>21400</v>
      </c>
      <c r="S48" s="3667"/>
      <c r="T48" s="3667">
        <f>IF(F1="售价",ROUND(PRODUCT(T47,AB7:AB46),0),ROUND(PRODUCT(T47,AB7:AB46),1))</f>
        <v>21400</v>
      </c>
      <c r="U48" s="3667"/>
      <c r="V48" s="3667">
        <f>IF(F1="售价",ROUND(PRODUCT(V47,AC7:AC46),0),ROUND(PRODUCT(V47,AC7:AC46),1))</f>
        <v>21400</v>
      </c>
      <c r="W48" s="3667"/>
      <c r="X48" s="688"/>
      <c r="Y48" s="688"/>
      <c r="Z48" s="688"/>
      <c r="AA48" s="688"/>
      <c r="AB48" s="688"/>
      <c r="AC48" s="688"/>
    </row>
    <row r="49" spans="1:29" ht="15.75" thickBot="1">
      <c r="A49" s="441" t="s">
        <v>1794</v>
      </c>
      <c r="B49" s="442"/>
      <c r="C49" s="1161">
        <f>R49</f>
        <v>21400</v>
      </c>
      <c r="D49" s="1161"/>
      <c r="E49" s="1161"/>
      <c r="F49" s="1161"/>
      <c r="G49" s="1161"/>
      <c r="H49" s="1161"/>
      <c r="I49" s="1161"/>
      <c r="J49" s="1161"/>
      <c r="K49" s="713"/>
      <c r="L49" s="2722"/>
      <c r="M49" s="2723"/>
      <c r="N49" s="2714"/>
      <c r="O49" s="2723"/>
      <c r="P49" s="3663" t="str">
        <f>A49</f>
        <v>估价对象XX用房的比较价值（楼面单价，元/平方米）</v>
      </c>
      <c r="Q49" s="3664"/>
      <c r="R49" s="3665">
        <f>IF(F1="售价",ROUND(IF(D48="简单平均",AVERAGE(R48:V48),R48*F48+T48*H48+V48*J48),0),ROUND(IF(D48="简单平均",AVERAGE(R48:V48),R48*F48+T48*H48+V48*J48),1))</f>
        <v>21400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176.57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45790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176.57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3356</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估价对象为房地产，为所有。根据《国有土地使用证》[]，估价对象（分摊）出让国有建设用地使用权面积为27平方米，建筑面积为176.57平方米。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估价对象为房地产,属开发建设的商业项目，该项目尚在开发建设中。根据《国有土地使用证》[]，估价对象（分摊）出让国有建设用地使用权面积为27平方米，规划建筑面积为176.57平方米。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45790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165</v>
      </c>
      <c r="G10" s="414"/>
      <c r="H10" s="127">
        <f>ROUND(100/'数据-取费表'!G16,0)</f>
        <v>165</v>
      </c>
      <c r="I10" s="414"/>
      <c r="J10" s="127">
        <f>ROUND(100/'数据-取费表'!G16,0)</f>
        <v>165</v>
      </c>
      <c r="K10" s="620"/>
      <c r="L10" s="2717"/>
      <c r="M10" s="2718"/>
      <c r="N10" s="2718"/>
      <c r="O10" s="2771"/>
      <c r="P10" s="3666"/>
      <c r="Q10" s="1341" t="str">
        <f t="shared" si="6"/>
        <v>土地使用年限（年）</v>
      </c>
      <c r="R10" s="699" t="s">
        <v>14</v>
      </c>
      <c r="S10" s="700">
        <f t="shared" si="0"/>
        <v>165</v>
      </c>
      <c r="T10" s="699" t="s">
        <v>14</v>
      </c>
      <c r="U10" s="700">
        <f t="shared" si="1"/>
        <v>165</v>
      </c>
      <c r="V10" s="699" t="s">
        <v>14</v>
      </c>
      <c r="W10" s="700">
        <f t="shared" si="2"/>
        <v>165</v>
      </c>
      <c r="X10" s="701"/>
      <c r="Y10" s="3541"/>
      <c r="Z10" s="52" t="str">
        <f t="shared" si="7"/>
        <v>土地使用年限（年）</v>
      </c>
      <c r="AA10" s="702">
        <f t="shared" si="3"/>
        <v>0.60606060606060608</v>
      </c>
      <c r="AB10" s="702">
        <f t="shared" si="4"/>
        <v>0.60606060606060608</v>
      </c>
      <c r="AC10" s="702">
        <f t="shared" si="5"/>
        <v>0.60606060606060608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176.57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176.57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165</v>
      </c>
      <c r="G10" s="383"/>
      <c r="H10" s="127">
        <f>ROUND(100/'数据-取费表'!G16,0)</f>
        <v>165</v>
      </c>
      <c r="I10" s="383"/>
      <c r="J10" s="127">
        <f>ROUND(100/'数据-取费表'!G16,0)</f>
        <v>165</v>
      </c>
      <c r="K10" s="620"/>
      <c r="L10" s="2717"/>
      <c r="M10" s="2718"/>
      <c r="N10" s="2718"/>
      <c r="O10" s="2771"/>
      <c r="P10" s="3666"/>
      <c r="Q10" s="1341" t="str">
        <f t="shared" si="6"/>
        <v>土地使用年限（年）</v>
      </c>
      <c r="R10" s="699" t="s">
        <v>14</v>
      </c>
      <c r="S10" s="700">
        <f t="shared" si="0"/>
        <v>165</v>
      </c>
      <c r="T10" s="699" t="s">
        <v>14</v>
      </c>
      <c r="U10" s="700">
        <f t="shared" si="1"/>
        <v>165</v>
      </c>
      <c r="V10" s="699" t="s">
        <v>14</v>
      </c>
      <c r="W10" s="700">
        <f t="shared" si="2"/>
        <v>165</v>
      </c>
      <c r="X10" s="701"/>
      <c r="Y10" s="3541"/>
      <c r="Z10" s="52" t="str">
        <f t="shared" si="7"/>
        <v>土地使用年限（年）</v>
      </c>
      <c r="AA10" s="702">
        <f t="shared" si="3"/>
        <v>0.60606060606060608</v>
      </c>
      <c r="AB10" s="702">
        <f t="shared" si="4"/>
        <v>0.60606060606060608</v>
      </c>
      <c r="AC10" s="702">
        <f t="shared" si="5"/>
        <v>0.60606060606060608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176.57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27</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2"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18.059999999999999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222.75239999999999</v>
      </c>
      <c r="C2" s="1385" t="s">
        <v>879</v>
      </c>
      <c r="D2" s="1469">
        <f ca="1">C40+J29+L46</f>
        <v>2227524</v>
      </c>
      <c r="E2" s="1386" t="s">
        <v>880</v>
      </c>
      <c r="F2" s="1387"/>
      <c r="G2" s="2704"/>
      <c r="H2" s="2693"/>
      <c r="I2" s="2693"/>
      <c r="J2" s="2693"/>
      <c r="K2" s="2694"/>
      <c r="L2" s="2693"/>
      <c r="M2" s="2693"/>
    </row>
    <row r="3" spans="1:37" ht="18" customHeight="1" thickBot="1">
      <c r="A3" s="1388" t="s">
        <v>881</v>
      </c>
      <c r="B3" s="1389">
        <f ca="1">IF(ISERROR(D2/F43),0,ROUND(D2/F43,0))</f>
        <v>12616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203265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203011</v>
      </c>
      <c r="D6" s="155" t="s">
        <v>2105</v>
      </c>
      <c r="E6" s="302" t="s">
        <v>696</v>
      </c>
      <c r="F6" s="303">
        <f ca="1">INDIRECT("'数据-取费表'!u"&amp;$G$1)</f>
        <v>3.5</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176.57</v>
      </c>
      <c r="G7" s="1382"/>
      <c r="H7" s="304"/>
      <c r="I7" s="3640"/>
      <c r="J7" s="306"/>
      <c r="K7" s="307"/>
      <c r="L7" s="302" t="s">
        <v>697</v>
      </c>
      <c r="M7" s="303">
        <f ca="1">F7</f>
        <v>176.57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254</v>
      </c>
      <c r="D10" s="1364" t="s">
        <v>2115</v>
      </c>
      <c r="E10" s="313" t="s">
        <v>701</v>
      </c>
      <c r="F10" s="1114" t="s">
        <v>3410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922730</v>
      </c>
      <c r="D13" s="1079" t="s">
        <v>705</v>
      </c>
      <c r="E13" s="1079" t="s">
        <v>706</v>
      </c>
      <c r="F13" s="1080">
        <f ca="1">INDIRECT("'数据-取费表'!y"&amp;$G$1)</f>
        <v>0.75</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794565</v>
      </c>
      <c r="D14" s="1343" t="s">
        <v>708</v>
      </c>
      <c r="E14" s="1340"/>
      <c r="F14" s="319"/>
      <c r="G14" s="1382"/>
      <c r="H14" s="980" t="s">
        <v>398</v>
      </c>
      <c r="I14" s="302" t="s">
        <v>709</v>
      </c>
      <c r="J14" s="21">
        <f ca="1">C29</f>
        <v>1230306</v>
      </c>
      <c r="K14" s="12"/>
      <c r="L14" s="805"/>
      <c r="M14" s="806"/>
    </row>
    <row r="15" spans="1:37" s="1395" customFormat="1" ht="18" customHeight="1" thickBot="1">
      <c r="A15" s="980" t="s">
        <v>399</v>
      </c>
      <c r="B15" s="302" t="s">
        <v>710</v>
      </c>
      <c r="C15" s="21">
        <f ca="1">ROUND(C14*F15,0)</f>
        <v>39728</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39728</v>
      </c>
      <c r="D16" s="302" t="s">
        <v>711</v>
      </c>
      <c r="E16" s="302" t="s">
        <v>712</v>
      </c>
      <c r="F16" s="322">
        <f ca="1">IF(INDIRECT("'数据-取费表'!c"&amp;$G$1)="住宅",'数据-取费表'!B34,0)</f>
        <v>0.05</v>
      </c>
      <c r="G16" s="1382"/>
      <c r="H16" s="1077" t="s">
        <v>393</v>
      </c>
      <c r="I16" s="1078" t="s">
        <v>714</v>
      </c>
      <c r="J16" s="310">
        <f ca="1">ROUND(J17+J22+J23+J24,0)</f>
        <v>6193</v>
      </c>
      <c r="K16" s="1085" t="s">
        <v>715</v>
      </c>
      <c r="L16" s="1086"/>
      <c r="M16" s="1070"/>
    </row>
    <row r="17" spans="1:37" s="1395" customFormat="1" ht="18" customHeight="1">
      <c r="A17" s="980" t="s">
        <v>681</v>
      </c>
      <c r="B17" s="302" t="s">
        <v>716</v>
      </c>
      <c r="C17" s="21">
        <f ca="1">ROUND(F17*(F43+INDIRECT("'数据-取费表'!S"&amp;$G$1)),0)</f>
        <v>31783</v>
      </c>
      <c r="D17" s="302" t="s">
        <v>717</v>
      </c>
      <c r="E17" s="302" t="s">
        <v>718</v>
      </c>
      <c r="F17" s="23">
        <f>'数据-取费表'!B35</f>
        <v>180</v>
      </c>
      <c r="G17" s="1394"/>
      <c r="H17" s="980" t="s">
        <v>398</v>
      </c>
      <c r="I17" s="302" t="s">
        <v>719</v>
      </c>
      <c r="J17" s="2314">
        <f ca="1">ROUND(IF(AND(项目基本情况!B11="自然人",项目基本情况!B10="北京市"),J6*M17/(1+'数据-取费表'!C42),J18+J19+J20),0)</f>
        <v>41</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15891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921695</v>
      </c>
      <c r="D19" s="131" t="s">
        <v>726</v>
      </c>
      <c r="E19" s="1358"/>
      <c r="F19" s="23"/>
      <c r="G19" s="1382"/>
      <c r="H19" s="980"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0" t="s">
        <v>402</v>
      </c>
      <c r="B20" s="302" t="s">
        <v>728</v>
      </c>
      <c r="C20" s="21">
        <f ca="1">ROUND(C19*F20,0)</f>
        <v>27651</v>
      </c>
      <c r="D20" s="323" t="s">
        <v>729</v>
      </c>
      <c r="E20" s="302" t="s">
        <v>712</v>
      </c>
      <c r="F20" s="322">
        <f>'数据-取费表'!B37</f>
        <v>0.03</v>
      </c>
      <c r="G20" s="1394"/>
      <c r="H20" s="980" t="s">
        <v>680</v>
      </c>
      <c r="I20" s="155" t="s">
        <v>730</v>
      </c>
      <c r="J20" s="22">
        <f ca="1">ROUND(M20*M21,0)</f>
        <v>41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0.03</v>
      </c>
      <c r="G21" s="1394"/>
      <c r="H21" s="326"/>
      <c r="I21" s="311"/>
      <c r="J21" s="26"/>
      <c r="K21" s="327"/>
      <c r="L21" s="302" t="s">
        <v>736</v>
      </c>
      <c r="M21" s="303">
        <f ca="1">INDIRECT("'数据-取费表'!r"&amp;$G$1)</f>
        <v>27</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6152</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29430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3.1000000000000003E-2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-6193</v>
      </c>
      <c r="K25" s="1093" t="s">
        <v>753</v>
      </c>
      <c r="L25" s="1094"/>
      <c r="M25" s="1095"/>
    </row>
    <row r="26" spans="1:37" ht="18" customHeight="1">
      <c r="A26" s="980" t="s">
        <v>397</v>
      </c>
      <c r="B26" s="302" t="s">
        <v>754</v>
      </c>
      <c r="C26" s="21">
        <f ca="1">ROUND((C19+C20)*F26,0)</f>
        <v>142402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4.4999999999999997E-3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1230306</v>
      </c>
      <c r="D29" s="1090"/>
      <c r="E29" s="1088"/>
      <c r="F29" s="1091"/>
      <c r="G29" s="1394"/>
      <c r="H29" s="334" t="s">
        <v>396</v>
      </c>
      <c r="I29" s="335" t="s">
        <v>768</v>
      </c>
      <c r="J29" s="336">
        <f ca="1">ROUND(J26/(1+F40)^F41,0)</f>
        <v>0</v>
      </c>
      <c r="K29" s="337" t="s">
        <v>769</v>
      </c>
      <c r="L29" s="338"/>
      <c r="M29" s="339">
        <f ca="1">INDIRECT("'数据-取费表'!k"&amp;$G$1)</f>
        <v>176.57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42621</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34069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10827</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23201</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41</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27</v>
      </c>
      <c r="G35" s="1382"/>
      <c r="H35" s="2695"/>
      <c r="I35" s="1396"/>
      <c r="J35" s="1397"/>
      <c r="K35" s="2699"/>
      <c r="L35" s="2698"/>
      <c r="M35" s="2698"/>
    </row>
    <row r="36" spans="1:18" ht="18" customHeight="1">
      <c r="A36" s="1100" t="s">
        <v>402</v>
      </c>
      <c r="B36" s="302" t="s">
        <v>738</v>
      </c>
      <c r="C36" s="21">
        <f ca="1">ROUND(C29*F36,0)</f>
        <v>6152</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1384</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1016</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160644</v>
      </c>
      <c r="D39" s="1093" t="s">
        <v>773</v>
      </c>
      <c r="E39" s="1094"/>
      <c r="F39" s="1095"/>
      <c r="G39" s="1382"/>
      <c r="H39" s="2698"/>
      <c r="I39" s="1396"/>
      <c r="J39" s="1397"/>
      <c r="K39" s="2702"/>
      <c r="L39" s="2698"/>
      <c r="M39" s="2698"/>
    </row>
    <row r="40" spans="1:18" ht="18" customHeight="1">
      <c r="A40" s="299" t="s">
        <v>395</v>
      </c>
      <c r="B40" s="300" t="s">
        <v>774</v>
      </c>
      <c r="C40" s="301">
        <f ca="1">ROUND(C39*(1-((1+F42)/(1+F40))^F41)/(F40-F42),0)</f>
        <v>2094222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18.059999999999999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11861</v>
      </c>
      <c r="D43" s="337" t="s">
        <v>777</v>
      </c>
      <c r="E43" s="338" t="s">
        <v>778</v>
      </c>
      <c r="F43" s="339">
        <f ca="1">INDIRECT("'数据-取费表'!k"&amp;$G$1)</f>
        <v>176.57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-217.96019999999999</v>
      </c>
      <c r="D45" s="3430" t="s">
        <v>3355</v>
      </c>
      <c r="E45" s="1398"/>
      <c r="F45" s="1398"/>
      <c r="O45" s="1401" t="s">
        <v>808</v>
      </c>
      <c r="P45" s="1459"/>
      <c r="Q45" s="1459"/>
      <c r="R45" s="1459"/>
    </row>
    <row r="46" spans="1:18" s="1382" customFormat="1" ht="13.5" thickBot="1">
      <c r="A46" s="1402" t="s">
        <v>809</v>
      </c>
      <c r="C46" s="1403">
        <f ca="1">ROUND(C45,0)</f>
        <v>-218</v>
      </c>
      <c r="D46" s="1404" t="str">
        <f>C2</f>
        <v>万元</v>
      </c>
      <c r="I46" s="1405" t="s">
        <v>810</v>
      </c>
      <c r="J46" s="1406"/>
      <c r="K46" s="1407"/>
      <c r="L46" s="1408">
        <f ca="1">IF(M47="住宅",0,IF(L48&gt;J51,L60,J60))</f>
        <v>133302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3401</v>
      </c>
      <c r="K47" s="1414" t="s">
        <v>816</v>
      </c>
      <c r="L47" s="1415">
        <f ca="1">INDIRECT("'数据-取费表'!d"&amp;$G$1)</f>
        <v>70</v>
      </c>
      <c r="M47" s="1378" t="str">
        <f>IF(ISNUMBER(FIND("住宅",C1)),"住宅","非住宅")</f>
        <v>非住宅</v>
      </c>
      <c r="O47" s="1416" t="s">
        <v>403</v>
      </c>
      <c r="P47" s="1417" t="s">
        <v>817</v>
      </c>
      <c r="Q47" s="1418">
        <f ca="1">C40+J29</f>
        <v>2094222</v>
      </c>
      <c r="R47" s="1418" t="s">
        <v>818</v>
      </c>
    </row>
    <row r="48" spans="1:18" s="1382" customFormat="1" ht="28.5" thickBot="1">
      <c r="A48" s="1108" t="s">
        <v>438</v>
      </c>
      <c r="B48" s="300" t="s">
        <v>692</v>
      </c>
      <c r="C48" s="1357">
        <f ca="1">C49+C53+C55</f>
        <v>0</v>
      </c>
      <c r="D48" s="1110"/>
      <c r="E48" s="1111"/>
      <c r="F48" s="960"/>
      <c r="G48" s="720"/>
      <c r="H48" s="721"/>
      <c r="I48" s="1419" t="s">
        <v>819</v>
      </c>
      <c r="J48" s="1420" t="s">
        <v>3402</v>
      </c>
      <c r="K48" s="1421" t="s">
        <v>820</v>
      </c>
      <c r="L48" s="1422">
        <f ca="1">INDIRECT("'数据-取费表'!f"&amp;$G$1)</f>
        <v>18.059999999999999</v>
      </c>
      <c r="O48" s="1416" t="s">
        <v>404</v>
      </c>
      <c r="P48" s="1417" t="s">
        <v>821</v>
      </c>
      <c r="Q48" s="1418">
        <f ca="1">J60</f>
        <v>133302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1994</v>
      </c>
      <c r="K49" s="1421" t="s">
        <v>824</v>
      </c>
      <c r="L49" s="1425"/>
      <c r="O49" s="1426" t="s">
        <v>405</v>
      </c>
      <c r="P49" s="1417" t="s">
        <v>825</v>
      </c>
      <c r="Q49" s="1418">
        <f ca="1">C29</f>
        <v>1230306</v>
      </c>
      <c r="R49" s="1418" t="s">
        <v>818</v>
      </c>
    </row>
    <row r="50" spans="1:18" s="1382" customFormat="1" ht="13.5" thickBot="1">
      <c r="A50" s="974"/>
      <c r="B50" s="977"/>
      <c r="C50" s="978"/>
      <c r="D50" s="951"/>
      <c r="E50" s="1054" t="s">
        <v>697</v>
      </c>
      <c r="F50" s="1055">
        <f ca="1">F7</f>
        <v>176.57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29</v>
      </c>
      <c r="K51" s="1432" t="s">
        <v>830</v>
      </c>
      <c r="L51" s="1433">
        <f ca="1">ROUND(-PV(INDIRECT("'数据-取费表'!h"&amp;$G$1),J51,(C39-C13*C76),0),0)</f>
        <v>1454344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18.059999999999999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18.059999999999999</v>
      </c>
      <c r="K53" s="3637" t="s">
        <v>837</v>
      </c>
      <c r="L53" s="3638"/>
      <c r="O53" s="1416" t="s">
        <v>409</v>
      </c>
      <c r="P53" s="1417" t="s">
        <v>838</v>
      </c>
      <c r="Q53" s="1418">
        <f ca="1">Q47+Q48</f>
        <v>2227524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922730</v>
      </c>
      <c r="D56" s="1445"/>
      <c r="E56" s="1446"/>
      <c r="F56" s="1438"/>
      <c r="I56" s="1447" t="s">
        <v>842</v>
      </c>
      <c r="J56" s="1448" t="s">
        <v>3390</v>
      </c>
      <c r="K56" s="1419" t="s">
        <v>843</v>
      </c>
      <c r="L56" s="1422" t="str">
        <f ca="1">IF(L48&lt;J51,"——",L48-J51)</f>
        <v>——</v>
      </c>
      <c r="O56" s="1416" t="s">
        <v>403</v>
      </c>
      <c r="P56" s="1417" t="s">
        <v>817</v>
      </c>
      <c r="Q56" s="1418">
        <f ca="1">C40+J29</f>
        <v>2094222</v>
      </c>
      <c r="R56" s="1418" t="s">
        <v>818</v>
      </c>
    </row>
    <row r="57" spans="1:18" s="1382" customFormat="1" ht="24.75" thickBot="1">
      <c r="A57" s="1449"/>
      <c r="B57" s="948" t="s">
        <v>767</v>
      </c>
      <c r="C57" s="238">
        <f ca="1">C29</f>
        <v>1230306</v>
      </c>
      <c r="D57" s="1450"/>
      <c r="E57" s="1451"/>
      <c r="F57" s="1452"/>
      <c r="I57" s="1453" t="s">
        <v>844</v>
      </c>
      <c r="J57" s="1454">
        <f ca="1">IF(OR(M47="住宅",J51&lt;L48,J56="是"),"——",J51-L48)</f>
        <v>10.940000000000001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7577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41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492122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133302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41</v>
      </c>
      <c r="D62" s="963" t="s">
        <v>786</v>
      </c>
      <c r="E62" s="948" t="s">
        <v>787</v>
      </c>
      <c r="F62" s="325">
        <f t="shared" si="0"/>
        <v>1.5</v>
      </c>
      <c r="I62" s="1460" t="s">
        <v>858</v>
      </c>
      <c r="J62" s="1461" t="s">
        <v>859</v>
      </c>
      <c r="K62" s="1461" t="s">
        <v>860</v>
      </c>
      <c r="L62" s="1461" t="s">
        <v>861</v>
      </c>
      <c r="M62" s="1462" t="s">
        <v>862</v>
      </c>
      <c r="O62" s="1416" t="s">
        <v>409</v>
      </c>
      <c r="P62" s="1417" t="s">
        <v>863</v>
      </c>
      <c r="Q62" s="1418">
        <f ca="1">Q56+Q57</f>
        <v>2094222</v>
      </c>
      <c r="R62" s="1418" t="s">
        <v>410</v>
      </c>
    </row>
    <row r="63" spans="1:18" s="1382" customFormat="1" ht="13.5" thickBot="1">
      <c r="A63" s="326"/>
      <c r="B63" s="954"/>
      <c r="C63" s="26"/>
      <c r="D63" s="964"/>
      <c r="E63" s="948" t="s">
        <v>788</v>
      </c>
      <c r="F63" s="303">
        <f t="shared" ca="1" si="0"/>
        <v>27</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6152</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1384</v>
      </c>
      <c r="D65" s="962" t="s">
        <v>743</v>
      </c>
      <c r="E65" s="948" t="s">
        <v>744</v>
      </c>
      <c r="F65" s="330">
        <f t="shared" ca="1" si="0"/>
        <v>1.5E-3</v>
      </c>
      <c r="I65" s="1460" t="s">
        <v>867</v>
      </c>
      <c r="J65" s="1461">
        <v>40</v>
      </c>
      <c r="K65" s="1461">
        <v>30</v>
      </c>
      <c r="L65" s="1461">
        <v>50</v>
      </c>
      <c r="M65" s="1463">
        <v>0.02</v>
      </c>
      <c r="O65" s="1416" t="s">
        <v>403</v>
      </c>
      <c r="P65" s="1417" t="s">
        <v>868</v>
      </c>
      <c r="Q65" s="1418">
        <f ca="1">C40+J29</f>
        <v>2094222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-7577</v>
      </c>
      <c r="D67" s="961" t="s">
        <v>753</v>
      </c>
      <c r="E67" s="966"/>
      <c r="F67" s="967"/>
      <c r="O67" s="1426" t="s">
        <v>405</v>
      </c>
      <c r="P67" s="1417" t="s">
        <v>850</v>
      </c>
      <c r="Q67" s="1464">
        <f ca="1">L51</f>
        <v>1454344</v>
      </c>
      <c r="R67" s="1418" t="s">
        <v>870</v>
      </c>
    </row>
    <row r="68" spans="1:18" s="1382" customFormat="1" ht="16.5" thickBot="1">
      <c r="A68" s="945" t="s">
        <v>395</v>
      </c>
      <c r="B68" s="946" t="s">
        <v>774</v>
      </c>
      <c r="C68" s="301">
        <f ca="1">ROUND(C67*(1-((1+F70)/(1+F68))^F69)/(F68-F70),0)</f>
        <v>-85380</v>
      </c>
      <c r="D68" s="963" t="s">
        <v>758</v>
      </c>
      <c r="E68" s="948" t="s">
        <v>759</v>
      </c>
      <c r="F68" s="312">
        <f ca="1">F40</f>
        <v>5.5E-2</v>
      </c>
      <c r="O68" s="1426" t="s">
        <v>406</v>
      </c>
      <c r="P68" s="1465" t="s">
        <v>871</v>
      </c>
      <c r="Q68" s="1418">
        <f ca="1">ROUND(Q69-Q70*Q71,0)</f>
        <v>96053</v>
      </c>
      <c r="R68" s="1418" t="s">
        <v>414</v>
      </c>
    </row>
    <row r="69" spans="1:18" s="1382" customFormat="1" ht="13.5" thickBot="1">
      <c r="A69" s="949"/>
      <c r="B69" s="950"/>
      <c r="C69" s="306"/>
      <c r="D69" s="968" t="s">
        <v>762</v>
      </c>
      <c r="E69" s="948" t="s">
        <v>763</v>
      </c>
      <c r="F69" s="333">
        <f ca="1">F41</f>
        <v>18.059999999999999</v>
      </c>
      <c r="O69" s="1426" t="s">
        <v>411</v>
      </c>
      <c r="P69" s="1465" t="s">
        <v>872</v>
      </c>
      <c r="Q69" s="1418">
        <f ca="1">C39</f>
        <v>160644</v>
      </c>
      <c r="R69" s="1418" t="s">
        <v>818</v>
      </c>
    </row>
    <row r="70" spans="1:18" s="1382" customFormat="1" ht="13.5" thickBot="1">
      <c r="A70" s="952"/>
      <c r="B70" s="953"/>
      <c r="C70" s="310"/>
      <c r="D70" s="964"/>
      <c r="E70" s="948" t="s">
        <v>766</v>
      </c>
      <c r="F70" s="1052"/>
      <c r="O70" s="1426" t="s">
        <v>412</v>
      </c>
      <c r="P70" s="1465" t="s">
        <v>873</v>
      </c>
      <c r="Q70" s="1418">
        <f ca="1">C13</f>
        <v>922730</v>
      </c>
      <c r="R70" s="1418" t="s">
        <v>818</v>
      </c>
    </row>
    <row r="71" spans="1:18" s="1382" customFormat="1" ht="13.5" thickBot="1">
      <c r="A71" s="969" t="s">
        <v>396</v>
      </c>
      <c r="B71" s="970" t="s">
        <v>776</v>
      </c>
      <c r="C71" s="336">
        <f ca="1">ROUND(C68/F71,0)</f>
        <v>-484</v>
      </c>
      <c r="D71" s="971" t="s">
        <v>777</v>
      </c>
      <c r="E71" s="972" t="s">
        <v>778</v>
      </c>
      <c r="F71" s="339">
        <f ca="1">F43</f>
        <v>176.57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64591</v>
      </c>
      <c r="D75" s="1382"/>
      <c r="E75" s="1382"/>
      <c r="F75" s="1382"/>
      <c r="K75" s="1400"/>
      <c r="L75" s="1382"/>
      <c r="O75" s="1416" t="s">
        <v>409</v>
      </c>
      <c r="P75" s="1417" t="s">
        <v>838</v>
      </c>
      <c r="Q75" s="1418">
        <f ca="1">Q65+Q66</f>
        <v>2094222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0.59799999999999998</v>
      </c>
    </row>
    <row r="80" spans="1:18">
      <c r="B80" s="340" t="s">
        <v>800</v>
      </c>
      <c r="C80" s="274">
        <f ca="1">ROUND(C75/C39,3)</f>
        <v>0.40200000000000002</v>
      </c>
    </row>
    <row r="81" spans="2:3">
      <c r="B81" s="270" t="s">
        <v>801</v>
      </c>
      <c r="C81" s="238"/>
    </row>
    <row r="82" spans="2:3">
      <c r="B82" s="273" t="s">
        <v>802</v>
      </c>
      <c r="C82" s="275">
        <f ca="1">1-C83</f>
        <v>0.55899999999999994</v>
      </c>
    </row>
    <row r="83" spans="2:3">
      <c r="B83" s="273" t="s">
        <v>803</v>
      </c>
      <c r="C83" s="274">
        <f ca="1">ROUND(C13/C40,3)</f>
        <v>0.441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3396</v>
      </c>
      <c r="D17" s="1008" t="s">
        <v>3397</v>
      </c>
      <c r="E17" s="1008" t="s">
        <v>3398</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3399</v>
      </c>
      <c r="Q24" s="2808">
        <v>1</v>
      </c>
      <c r="R24" s="666">
        <f ca="1">结果表!G20</f>
        <v>21400</v>
      </c>
      <c r="S24" s="664">
        <f t="shared" ref="S24:S54" ca="1"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3399</v>
      </c>
      <c r="Q25" s="21">
        <f>(SUMIF($17:$17,P25,$18:$18)-SUMIF($17:$17,$P$24,$18:$18)+100)/100</f>
        <v>1</v>
      </c>
      <c r="R25" s="661">
        <f ca="1">IF(B25="",0,ROUND($R$24*C25*E25*G25*I25*K25*M25*O25*Q25,0))</f>
        <v>21400</v>
      </c>
      <c r="S25" s="316">
        <f t="shared" ca="1" si="12"/>
        <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3399</v>
      </c>
      <c r="Q26" s="21">
        <f t="shared" ref="Q26:Q89" si="20">(SUMIF($17:$17,P26,$18:$18)-SUMIF($17:$17,$P$24,$18:$18)+100)/100</f>
        <v>1</v>
      </c>
      <c r="R26" s="661">
        <f t="shared" ref="R26:R89" ca="1" si="21">IF(B26="",0,ROUND($R$24*C26*E26*G26*I26*K26*M26*O26*Q26,0))</f>
        <v>21400</v>
      </c>
      <c r="S26" s="316">
        <f t="shared" ca="1" si="12"/>
        <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3399</v>
      </c>
      <c r="Q27" s="21">
        <f t="shared" si="20"/>
        <v>1</v>
      </c>
      <c r="R27" s="661">
        <f t="shared" ca="1" si="21"/>
        <v>21400</v>
      </c>
      <c r="S27" s="316">
        <f t="shared" ca="1" si="12"/>
        <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3399</v>
      </c>
      <c r="Q28" s="21">
        <f t="shared" si="20"/>
        <v>1</v>
      </c>
      <c r="R28" s="661">
        <f t="shared" ca="1" si="21"/>
        <v>21400</v>
      </c>
      <c r="S28" s="316">
        <f t="shared" ca="1" si="12"/>
        <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3399</v>
      </c>
      <c r="Q29" s="21">
        <f t="shared" si="20"/>
        <v>1</v>
      </c>
      <c r="R29" s="661">
        <f t="shared" ca="1" si="21"/>
        <v>21400</v>
      </c>
      <c r="S29" s="316">
        <f t="shared" ca="1" si="12"/>
        <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3399</v>
      </c>
      <c r="Q30" s="21">
        <f t="shared" si="20"/>
        <v>1</v>
      </c>
      <c r="R30" s="661">
        <f t="shared" ca="1" si="21"/>
        <v>21400</v>
      </c>
      <c r="S30" s="316">
        <f t="shared" ca="1" si="12"/>
        <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3399</v>
      </c>
      <c r="Q31" s="21">
        <f t="shared" si="20"/>
        <v>1</v>
      </c>
      <c r="R31" s="661">
        <f t="shared" ca="1" si="21"/>
        <v>21400</v>
      </c>
      <c r="S31" s="316">
        <f t="shared" ca="1" si="12"/>
        <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3399</v>
      </c>
      <c r="Q32" s="21">
        <f t="shared" si="20"/>
        <v>1</v>
      </c>
      <c r="R32" s="661">
        <f t="shared" ca="1" si="21"/>
        <v>21400</v>
      </c>
      <c r="S32" s="316">
        <f t="shared" ca="1" si="12"/>
        <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3399</v>
      </c>
      <c r="Q33" s="21">
        <f t="shared" si="20"/>
        <v>1</v>
      </c>
      <c r="R33" s="661">
        <f t="shared" ca="1" si="21"/>
        <v>21400</v>
      </c>
      <c r="S33" s="316">
        <f t="shared" ca="1" si="12"/>
        <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3399</v>
      </c>
      <c r="Q34" s="21">
        <f t="shared" si="20"/>
        <v>1</v>
      </c>
      <c r="R34" s="661">
        <f t="shared" ca="1" si="21"/>
        <v>21400</v>
      </c>
      <c r="S34" s="316">
        <f t="shared" ca="1" si="12"/>
        <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3399</v>
      </c>
      <c r="Q35" s="21">
        <f t="shared" si="20"/>
        <v>1</v>
      </c>
      <c r="R35" s="661">
        <f t="shared" ca="1" si="21"/>
        <v>21400</v>
      </c>
      <c r="S35" s="316">
        <f t="shared" ca="1" si="12"/>
        <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3399</v>
      </c>
      <c r="Q36" s="21">
        <f t="shared" si="20"/>
        <v>1</v>
      </c>
      <c r="R36" s="661">
        <f t="shared" ca="1" si="21"/>
        <v>21400</v>
      </c>
      <c r="S36" s="316">
        <f t="shared" ca="1" si="12"/>
        <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3399</v>
      </c>
      <c r="Q37" s="21">
        <f t="shared" si="20"/>
        <v>1</v>
      </c>
      <c r="R37" s="661">
        <f t="shared" ca="1" si="21"/>
        <v>21400</v>
      </c>
      <c r="S37" s="316">
        <f t="shared" ca="1" si="12"/>
        <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3400</v>
      </c>
      <c r="Q38" s="21">
        <f t="shared" si="20"/>
        <v>0.65</v>
      </c>
      <c r="R38" s="661">
        <f t="shared" ca="1" si="21"/>
        <v>13910</v>
      </c>
      <c r="S38" s="316">
        <f t="shared" ca="1" si="12"/>
        <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3400</v>
      </c>
      <c r="Q39" s="21">
        <f t="shared" si="20"/>
        <v>0.65</v>
      </c>
      <c r="R39" s="661">
        <f t="shared" ca="1" si="21"/>
        <v>13910</v>
      </c>
      <c r="S39" s="316">
        <f t="shared" ca="1" si="12"/>
        <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3400</v>
      </c>
      <c r="Q40" s="21">
        <f t="shared" si="20"/>
        <v>0.65</v>
      </c>
      <c r="R40" s="661">
        <f t="shared" ca="1" si="21"/>
        <v>13910</v>
      </c>
      <c r="S40" s="316">
        <f t="shared" ca="1" si="12"/>
        <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3400</v>
      </c>
      <c r="Q41" s="21">
        <f t="shared" si="20"/>
        <v>0.65</v>
      </c>
      <c r="R41" s="661">
        <f t="shared" ca="1" si="21"/>
        <v>13910</v>
      </c>
      <c r="S41" s="316">
        <f t="shared" ca="1" si="12"/>
        <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3400</v>
      </c>
      <c r="Q42" s="21">
        <f t="shared" si="20"/>
        <v>0.65</v>
      </c>
      <c r="R42" s="661">
        <f t="shared" ca="1" si="21"/>
        <v>13910</v>
      </c>
      <c r="S42" s="316">
        <f t="shared" ca="1" si="12"/>
        <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3400</v>
      </c>
      <c r="Q43" s="21">
        <f t="shared" si="20"/>
        <v>0.65</v>
      </c>
      <c r="R43" s="661">
        <f t="shared" ca="1" si="21"/>
        <v>13910</v>
      </c>
      <c r="S43" s="316">
        <f t="shared" ca="1" si="12"/>
        <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3400</v>
      </c>
      <c r="Q44" s="21">
        <f t="shared" si="20"/>
        <v>0.65</v>
      </c>
      <c r="R44" s="661">
        <f t="shared" ca="1" si="21"/>
        <v>13910</v>
      </c>
      <c r="S44" s="316">
        <f t="shared" ca="1" si="12"/>
        <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3400</v>
      </c>
      <c r="Q45" s="21">
        <f t="shared" si="20"/>
        <v>0.65</v>
      </c>
      <c r="R45" s="661">
        <f t="shared" ca="1" si="21"/>
        <v>13910</v>
      </c>
      <c r="S45" s="316">
        <f t="shared" ca="1" si="12"/>
        <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3400</v>
      </c>
      <c r="Q46" s="21">
        <f t="shared" si="20"/>
        <v>0.65</v>
      </c>
      <c r="R46" s="661">
        <f t="shared" ca="1" si="21"/>
        <v>13910</v>
      </c>
      <c r="S46" s="316">
        <f t="shared" ca="1" si="12"/>
        <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3400</v>
      </c>
      <c r="Q47" s="21">
        <f t="shared" si="20"/>
        <v>0.65</v>
      </c>
      <c r="R47" s="661">
        <f t="shared" ca="1" si="21"/>
        <v>13910</v>
      </c>
      <c r="S47" s="316">
        <f t="shared" ca="1" si="12"/>
        <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3399</v>
      </c>
      <c r="Q48" s="21">
        <f t="shared" si="20"/>
        <v>1</v>
      </c>
      <c r="R48" s="661">
        <f t="shared" ca="1" si="21"/>
        <v>21400</v>
      </c>
      <c r="S48" s="316">
        <f t="shared" ca="1" si="12"/>
        <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3399</v>
      </c>
      <c r="Q49" s="21">
        <f t="shared" si="20"/>
        <v>1</v>
      </c>
      <c r="R49" s="661">
        <f t="shared" ca="1" si="21"/>
        <v>21400</v>
      </c>
      <c r="S49" s="316">
        <f t="shared" ca="1" si="12"/>
        <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3399</v>
      </c>
      <c r="Q50" s="21">
        <f t="shared" si="20"/>
        <v>1</v>
      </c>
      <c r="R50" s="661">
        <f t="shared" ca="1" si="21"/>
        <v>21400</v>
      </c>
      <c r="S50" s="316">
        <f t="shared" ca="1" si="12"/>
        <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3399</v>
      </c>
      <c r="Q51" s="21">
        <f t="shared" si="20"/>
        <v>1</v>
      </c>
      <c r="R51" s="661">
        <f t="shared" ca="1" si="21"/>
        <v>21400</v>
      </c>
      <c r="S51" s="316">
        <f t="shared" ca="1" si="12"/>
        <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3399</v>
      </c>
      <c r="Q52" s="21">
        <f t="shared" si="20"/>
        <v>1</v>
      </c>
      <c r="R52" s="661">
        <f t="shared" ca="1" si="21"/>
        <v>21400</v>
      </c>
      <c r="S52" s="316">
        <f t="shared" ca="1" si="12"/>
        <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3399</v>
      </c>
      <c r="Q53" s="21">
        <f t="shared" si="20"/>
        <v>1</v>
      </c>
      <c r="R53" s="661">
        <f t="shared" ca="1" si="21"/>
        <v>21400</v>
      </c>
      <c r="S53" s="316">
        <f t="shared" ca="1" si="12"/>
        <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3399</v>
      </c>
      <c r="Q54" s="21">
        <f t="shared" si="20"/>
        <v>1</v>
      </c>
      <c r="R54" s="661">
        <f t="shared" ca="1" si="21"/>
        <v>21400</v>
      </c>
      <c r="S54" s="316">
        <f t="shared" ca="1" si="12"/>
        <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3399</v>
      </c>
      <c r="Q55" s="21">
        <f t="shared" si="20"/>
        <v>1</v>
      </c>
      <c r="R55" s="661">
        <f t="shared" ca="1" si="21"/>
        <v>21400</v>
      </c>
      <c r="S55" s="316">
        <f t="shared" ref="S55:S77" ca="1" si="22">ROUND(R55*B55/10000,0)</f>
        <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3399</v>
      </c>
      <c r="Q56" s="21">
        <f t="shared" si="20"/>
        <v>1</v>
      </c>
      <c r="R56" s="661">
        <f t="shared" ca="1" si="21"/>
        <v>21400</v>
      </c>
      <c r="S56" s="316">
        <f t="shared" ca="1" si="22"/>
        <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3399</v>
      </c>
      <c r="Q57" s="21">
        <f t="shared" si="20"/>
        <v>1</v>
      </c>
      <c r="R57" s="661">
        <f t="shared" ca="1" si="21"/>
        <v>21400</v>
      </c>
      <c r="S57" s="316">
        <f t="shared" ca="1" si="22"/>
        <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3399</v>
      </c>
      <c r="Q58" s="21">
        <f t="shared" si="20"/>
        <v>1</v>
      </c>
      <c r="R58" s="661">
        <f t="shared" ca="1" si="21"/>
        <v>21400</v>
      </c>
      <c r="S58" s="316">
        <f t="shared" ca="1" si="22"/>
        <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3399</v>
      </c>
      <c r="Q59" s="21">
        <f t="shared" si="20"/>
        <v>1</v>
      </c>
      <c r="R59" s="661">
        <f t="shared" ca="1" si="21"/>
        <v>21400</v>
      </c>
      <c r="S59" s="316">
        <f t="shared" ca="1" si="22"/>
        <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3399</v>
      </c>
      <c r="Q60" s="21">
        <f t="shared" si="20"/>
        <v>1</v>
      </c>
      <c r="R60" s="661">
        <f t="shared" ca="1" si="21"/>
        <v>21400</v>
      </c>
      <c r="S60" s="316">
        <f t="shared" ca="1" si="22"/>
        <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3399</v>
      </c>
      <c r="Q61" s="21">
        <f t="shared" si="20"/>
        <v>1</v>
      </c>
      <c r="R61" s="661">
        <f t="shared" ca="1" si="21"/>
        <v>21400</v>
      </c>
      <c r="S61" s="316">
        <f t="shared" ca="1" si="22"/>
        <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3399</v>
      </c>
      <c r="Q62" s="21">
        <f t="shared" si="20"/>
        <v>1</v>
      </c>
      <c r="R62" s="661">
        <f t="shared" ca="1" si="21"/>
        <v>21400</v>
      </c>
      <c r="S62" s="316">
        <f t="shared" ca="1" si="22"/>
        <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3400</v>
      </c>
      <c r="Q63" s="21">
        <f t="shared" si="20"/>
        <v>0.65</v>
      </c>
      <c r="R63" s="661">
        <f t="shared" ca="1" si="21"/>
        <v>13910</v>
      </c>
      <c r="S63" s="316">
        <f t="shared" ca="1" si="22"/>
        <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3400</v>
      </c>
      <c r="Q64" s="21">
        <f t="shared" si="20"/>
        <v>0.65</v>
      </c>
      <c r="R64" s="661">
        <f t="shared" ca="1" si="21"/>
        <v>13910</v>
      </c>
      <c r="S64" s="316">
        <f t="shared" ca="1" si="22"/>
        <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3400</v>
      </c>
      <c r="Q65" s="21">
        <f t="shared" si="20"/>
        <v>0.65</v>
      </c>
      <c r="R65" s="661">
        <f t="shared" ca="1" si="21"/>
        <v>13910</v>
      </c>
      <c r="S65" s="316">
        <f t="shared" ca="1" si="22"/>
        <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3400</v>
      </c>
      <c r="Q66" s="21">
        <f t="shared" si="20"/>
        <v>0.65</v>
      </c>
      <c r="R66" s="661">
        <f t="shared" ca="1" si="21"/>
        <v>13910</v>
      </c>
      <c r="S66" s="316">
        <f t="shared" ca="1" si="22"/>
        <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3400</v>
      </c>
      <c r="Q67" s="21">
        <f t="shared" si="20"/>
        <v>0.65</v>
      </c>
      <c r="R67" s="661">
        <f t="shared" ca="1" si="21"/>
        <v>13910</v>
      </c>
      <c r="S67" s="316">
        <f t="shared" ca="1" si="22"/>
        <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3400</v>
      </c>
      <c r="Q68" s="21">
        <f t="shared" si="20"/>
        <v>0.65</v>
      </c>
      <c r="R68" s="661">
        <f t="shared" ca="1" si="21"/>
        <v>13910</v>
      </c>
      <c r="S68" s="316">
        <f t="shared" ca="1" si="22"/>
        <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3400</v>
      </c>
      <c r="Q69" s="21">
        <f t="shared" si="20"/>
        <v>0.65</v>
      </c>
      <c r="R69" s="661">
        <f t="shared" ca="1" si="21"/>
        <v>13910</v>
      </c>
      <c r="S69" s="316">
        <f t="shared" ca="1" si="22"/>
        <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3400</v>
      </c>
      <c r="Q70" s="21">
        <f t="shared" si="20"/>
        <v>0.65</v>
      </c>
      <c r="R70" s="661">
        <f t="shared" ca="1" si="21"/>
        <v>13910</v>
      </c>
      <c r="S70" s="316">
        <f t="shared" ca="1" si="22"/>
        <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3400</v>
      </c>
      <c r="Q71" s="21">
        <f t="shared" si="20"/>
        <v>0.65</v>
      </c>
      <c r="R71" s="661">
        <f t="shared" ca="1" si="21"/>
        <v>13910</v>
      </c>
      <c r="S71" s="316">
        <f t="shared" ca="1" si="22"/>
        <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3400</v>
      </c>
      <c r="Q72" s="21">
        <f t="shared" si="20"/>
        <v>0.65</v>
      </c>
      <c r="R72" s="661">
        <f t="shared" ca="1" si="21"/>
        <v>13910</v>
      </c>
      <c r="S72" s="316">
        <f t="shared" ca="1" si="22"/>
        <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3400</v>
      </c>
      <c r="Q73" s="21">
        <f t="shared" si="20"/>
        <v>0.65</v>
      </c>
      <c r="R73" s="661">
        <f t="shared" ca="1" si="21"/>
        <v>13910</v>
      </c>
      <c r="S73" s="316">
        <f t="shared" ca="1" si="22"/>
        <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3400</v>
      </c>
      <c r="Q74" s="21">
        <f t="shared" si="20"/>
        <v>0.65</v>
      </c>
      <c r="R74" s="661">
        <f t="shared" ca="1" si="21"/>
        <v>13910</v>
      </c>
      <c r="S74" s="316">
        <f t="shared" ca="1" si="22"/>
        <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3239</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3240</v>
      </c>
      <c r="B12" s="3303" t="s">
        <v>3241</v>
      </c>
      <c r="C12" s="3304"/>
      <c r="D12" s="3305" t="s">
        <v>3242</v>
      </c>
      <c r="E12" s="3306" t="s">
        <v>3243</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3244</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3245</v>
      </c>
      <c r="G14" s="3310" t="s">
        <v>3245</v>
      </c>
      <c r="H14" s="3310" t="s">
        <v>3245</v>
      </c>
      <c r="I14" s="3310" t="s">
        <v>3245</v>
      </c>
      <c r="J14" s="3310" t="s">
        <v>3245</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3246</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t="e">
        <f>ROUND(G18/I18,2)</f>
        <v>#DIV/0!</v>
      </c>
      <c r="F17" s="3320" t="s">
        <v>3252</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3250</v>
      </c>
      <c r="E18" s="3327"/>
      <c r="F18" s="3322" t="s">
        <v>3253</v>
      </c>
      <c r="G18" s="3326">
        <f>ROUND(1-(1/(POWER(1+G24,E18))),4)</f>
        <v>0</v>
      </c>
      <c r="H18" s="3322" t="s">
        <v>3255</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3251</v>
      </c>
      <c r="E19" s="3336"/>
      <c r="F19" s="3337" t="s">
        <v>3254</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3256</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45790</v>
      </c>
      <c r="H23" s="3341" t="s">
        <v>3258</v>
      </c>
      <c r="I23" s="3342" t="str">
        <f>IF(H23="季度增幅（自定义）",SUMIF(N25:N28,E2,O25:O28),"")</f>
        <v/>
      </c>
      <c r="J23" s="3444" t="s">
        <v>3257</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3337</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3259</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3264</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3262</v>
      </c>
      <c r="G33" s="2097"/>
      <c r="H33" s="2097"/>
      <c r="I33" s="2097"/>
      <c r="J33" s="2098"/>
      <c r="K33" s="1117"/>
      <c r="L33" s="3347" t="s">
        <v>3265</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3266</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3263</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3267</v>
      </c>
      <c r="L36" s="3445">
        <f ca="1">'数据-取费表'!B40</f>
        <v>3.1000000000000003E-2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3.6000000000000004E-2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3261</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3269</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3271</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3271</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3271</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3272</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2614</v>
      </c>
      <c r="B91" s="3376">
        <f>1+E93</f>
        <v>1</v>
      </c>
      <c r="C91" s="3369"/>
      <c r="D91" s="3370"/>
      <c r="E91" s="1812"/>
      <c r="F91" s="1812"/>
      <c r="G91" s="3371"/>
      <c r="H91" s="3372"/>
      <c r="I91" s="3373"/>
      <c r="J91" s="3374"/>
      <c r="K91" s="3374"/>
      <c r="L91" s="3374"/>
      <c r="M91" s="3374"/>
      <c r="N91" s="3374"/>
    </row>
    <row r="92" spans="1:37" ht="24.75">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3275</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3271</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3276</v>
      </c>
      <c r="B96" s="3383" t="s">
        <v>3287</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3278</v>
      </c>
      <c r="B98" s="3384" t="s">
        <v>3288</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3279</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3280</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3281</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3296</v>
      </c>
      <c r="B103" s="3752"/>
      <c r="C103" s="3752"/>
      <c r="D103" s="3752"/>
      <c r="E103" s="3752"/>
      <c r="F103" s="3752"/>
      <c r="G103" s="3752"/>
      <c r="H103" s="3752"/>
      <c r="I103" s="3752"/>
      <c r="J103" s="3752"/>
      <c r="K103" s="3388"/>
      <c r="L103" s="3388"/>
      <c r="M103" s="3388"/>
      <c r="N103" s="3388"/>
    </row>
    <row r="104" spans="1:14">
      <c r="A104" s="3753" t="s">
        <v>3297</v>
      </c>
      <c r="B104" s="3753" t="s">
        <v>3298</v>
      </c>
      <c r="C104" s="3389" t="s">
        <v>3299</v>
      </c>
      <c r="D104" s="3390"/>
      <c r="E104" s="3390"/>
      <c r="F104" s="3390"/>
      <c r="G104" s="3390"/>
      <c r="H104" s="3390"/>
      <c r="I104" s="3390"/>
      <c r="J104" s="3391"/>
      <c r="K104" s="3392"/>
      <c r="L104" s="3392"/>
      <c r="M104" s="3392"/>
      <c r="N104" s="3392"/>
    </row>
    <row r="105" spans="1:14">
      <c r="A105" s="3753"/>
      <c r="B105" s="3753"/>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39"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3313</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3314</v>
      </c>
      <c r="B116" s="3414">
        <f>G3</f>
        <v>0</v>
      </c>
      <c r="C116" s="3398" t="s">
        <v>3315</v>
      </c>
      <c r="D116" s="3399">
        <f>SUMPRODUCT((A118:A122=F116)*(B117:M117=H116)*B118:M122)</f>
        <v>0</v>
      </c>
      <c r="E116" s="1998" t="s">
        <v>3316</v>
      </c>
      <c r="F116" s="3400">
        <f>E2</f>
        <v>0</v>
      </c>
      <c r="G116" s="1998" t="s">
        <v>3317</v>
      </c>
      <c r="H116" s="3400">
        <f>G2</f>
        <v>0</v>
      </c>
      <c r="I116" s="1998"/>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7" t="s">
        <v>2609</v>
      </c>
      <c r="B20" s="3762" t="s">
        <v>2630</v>
      </c>
      <c r="C20" s="3101" t="s">
        <v>2441</v>
      </c>
      <c r="D20" s="3102"/>
      <c r="E20" s="3103">
        <v>1</v>
      </c>
      <c r="F20" s="3104" t="s">
        <v>2442</v>
      </c>
      <c r="G20" s="3104"/>
    </row>
    <row r="21" spans="1:13" ht="19.5" customHeight="1">
      <c r="A21" s="3768"/>
      <c r="B21" s="3761"/>
      <c r="C21" s="3105" t="s">
        <v>2443</v>
      </c>
      <c r="D21" s="3106"/>
      <c r="E21" s="3107">
        <v>1</v>
      </c>
      <c r="F21" s="3104" t="s">
        <v>2444</v>
      </c>
      <c r="G21" s="3104"/>
    </row>
    <row r="22" spans="1:13" ht="19.5" customHeight="1">
      <c r="A22" s="3768"/>
      <c r="B22" s="3761"/>
      <c r="C22" s="3105" t="s">
        <v>2445</v>
      </c>
      <c r="D22" s="3106"/>
      <c r="E22" s="3107">
        <v>0.9</v>
      </c>
      <c r="F22" s="3104" t="s">
        <v>2446</v>
      </c>
      <c r="G22" s="3104"/>
    </row>
    <row r="23" spans="1:13" ht="19.5" customHeight="1">
      <c r="A23" s="3768"/>
      <c r="B23" s="3761"/>
      <c r="C23" s="3105" t="s">
        <v>2447</v>
      </c>
      <c r="D23" s="3106"/>
      <c r="E23" s="3107">
        <v>0.9</v>
      </c>
      <c r="F23" s="3104" t="s">
        <v>2448</v>
      </c>
      <c r="G23" s="3104"/>
    </row>
    <row r="24" spans="1:13" ht="19.5" customHeight="1">
      <c r="A24" s="3768"/>
      <c r="B24" s="3761"/>
      <c r="C24" s="3105" t="s">
        <v>2449</v>
      </c>
      <c r="D24" s="3106"/>
      <c r="E24" s="3107">
        <v>0.8</v>
      </c>
      <c r="F24" s="3104" t="s">
        <v>2450</v>
      </c>
      <c r="G24" s="3104"/>
    </row>
    <row r="25" spans="1:13" ht="19.5" customHeight="1" thickBot="1">
      <c r="A25" s="3769"/>
      <c r="B25" s="3763"/>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4" t="s">
        <v>2633</v>
      </c>
      <c r="B27" s="3762" t="s">
        <v>2614</v>
      </c>
      <c r="C27" s="3101" t="s">
        <v>2454</v>
      </c>
      <c r="D27" s="3102"/>
      <c r="E27" s="3103">
        <v>1</v>
      </c>
      <c r="F27" s="3104" t="s">
        <v>2455</v>
      </c>
      <c r="G27" s="3104"/>
    </row>
    <row r="28" spans="1:13" ht="19.5" customHeight="1">
      <c r="A28" s="3765"/>
      <c r="B28" s="3761"/>
      <c r="C28" s="3105" t="s">
        <v>2456</v>
      </c>
      <c r="D28" s="3106"/>
      <c r="E28" s="3107">
        <v>1</v>
      </c>
      <c r="F28" s="3104" t="s">
        <v>2457</v>
      </c>
      <c r="G28" s="3104"/>
    </row>
    <row r="29" spans="1:13" ht="19.5" customHeight="1">
      <c r="A29" s="3765"/>
      <c r="B29" s="3761"/>
      <c r="C29" s="3105" t="s">
        <v>2458</v>
      </c>
      <c r="D29" s="3106"/>
      <c r="E29" s="3107">
        <v>0.8</v>
      </c>
      <c r="F29" s="3104" t="s">
        <v>2459</v>
      </c>
      <c r="G29" s="3104"/>
    </row>
    <row r="30" spans="1:13" ht="19.5" customHeight="1">
      <c r="A30" s="3765"/>
      <c r="B30" s="3761"/>
      <c r="C30" s="3105" t="s">
        <v>2460</v>
      </c>
      <c r="D30" s="3106"/>
      <c r="E30" s="3107">
        <v>0.8</v>
      </c>
      <c r="F30" s="3104" t="s">
        <v>2461</v>
      </c>
      <c r="G30" s="3104"/>
    </row>
    <row r="31" spans="1:13" ht="19.5" customHeight="1">
      <c r="A31" s="3765"/>
      <c r="B31" s="3761"/>
      <c r="C31" s="3105" t="s">
        <v>2462</v>
      </c>
      <c r="D31" s="3106"/>
      <c r="E31" s="3107">
        <v>0.8</v>
      </c>
      <c r="F31" s="3104" t="s">
        <v>2463</v>
      </c>
      <c r="G31" s="3104"/>
    </row>
    <row r="32" spans="1:13" ht="19.5" customHeight="1">
      <c r="A32" s="3765"/>
      <c r="B32" s="3761"/>
      <c r="C32" s="3105" t="s">
        <v>2464</v>
      </c>
      <c r="D32" s="3106"/>
      <c r="E32" s="3107">
        <v>0.7</v>
      </c>
      <c r="F32" s="3104" t="s">
        <v>2465</v>
      </c>
      <c r="G32" s="3104"/>
    </row>
    <row r="33" spans="1:7" ht="19.5" customHeight="1">
      <c r="A33" s="3765"/>
      <c r="B33" s="3761"/>
      <c r="C33" s="3105" t="s">
        <v>2466</v>
      </c>
      <c r="D33" s="3106"/>
      <c r="E33" s="3107">
        <v>0.8</v>
      </c>
      <c r="F33" s="3104" t="s">
        <v>2467</v>
      </c>
      <c r="G33" s="3104"/>
    </row>
    <row r="34" spans="1:7" ht="19.5" customHeight="1">
      <c r="A34" s="3765"/>
      <c r="B34" s="3761"/>
      <c r="C34" s="3105" t="s">
        <v>2468</v>
      </c>
      <c r="D34" s="3106"/>
      <c r="E34" s="3107">
        <v>0.6</v>
      </c>
      <c r="F34" s="3104" t="s">
        <v>2469</v>
      </c>
      <c r="G34" s="3104"/>
    </row>
    <row r="35" spans="1:7" ht="19.5" customHeight="1">
      <c r="A35" s="3765"/>
      <c r="B35" s="3761"/>
      <c r="C35" s="3105" t="s">
        <v>2470</v>
      </c>
      <c r="D35" s="3106"/>
      <c r="E35" s="3107">
        <v>0.2</v>
      </c>
      <c r="F35" s="3104" t="s">
        <v>2471</v>
      </c>
      <c r="G35" s="3104"/>
    </row>
    <row r="36" spans="1:7" ht="19.5" customHeight="1">
      <c r="A36" s="3765"/>
      <c r="B36" s="3761"/>
      <c r="C36" s="3105" t="s">
        <v>2472</v>
      </c>
      <c r="D36" s="3106"/>
      <c r="E36" s="3107">
        <v>0.2</v>
      </c>
      <c r="F36" s="3104" t="s">
        <v>2473</v>
      </c>
      <c r="G36" s="3104"/>
    </row>
    <row r="37" spans="1:7" ht="19.5" customHeight="1">
      <c r="A37" s="3765"/>
      <c r="B37" s="3759" t="s">
        <v>2634</v>
      </c>
      <c r="C37" s="3105" t="s">
        <v>2474</v>
      </c>
      <c r="D37" s="3106"/>
      <c r="E37" s="3107">
        <v>0.6</v>
      </c>
      <c r="F37" s="3104" t="s">
        <v>2475</v>
      </c>
      <c r="G37" s="3104"/>
    </row>
    <row r="38" spans="1:7" ht="19.5" customHeight="1">
      <c r="A38" s="3765"/>
      <c r="B38" s="3761"/>
      <c r="C38" s="3105" t="s">
        <v>2476</v>
      </c>
      <c r="D38" s="3106"/>
      <c r="E38" s="3107">
        <v>0.6</v>
      </c>
      <c r="F38" s="3104" t="s">
        <v>2477</v>
      </c>
      <c r="G38" s="3104"/>
    </row>
    <row r="39" spans="1:7" ht="19.5" customHeight="1" thickBot="1">
      <c r="A39" s="3766"/>
      <c r="B39" s="3763"/>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7" t="s">
        <v>2612</v>
      </c>
      <c r="B41" s="3762" t="s">
        <v>2636</v>
      </c>
      <c r="C41" s="3101" t="s">
        <v>2481</v>
      </c>
      <c r="D41" s="3102"/>
      <c r="E41" s="3103">
        <v>1</v>
      </c>
      <c r="F41" s="3104" t="s">
        <v>2482</v>
      </c>
      <c r="G41" s="3104"/>
    </row>
    <row r="42" spans="1:7" ht="19.5" customHeight="1">
      <c r="A42" s="3768"/>
      <c r="B42" s="3761"/>
      <c r="C42" s="3105" t="s">
        <v>2483</v>
      </c>
      <c r="D42" s="3106"/>
      <c r="E42" s="3107">
        <v>1</v>
      </c>
      <c r="F42" s="3104" t="s">
        <v>2484</v>
      </c>
      <c r="G42" s="3104"/>
    </row>
    <row r="43" spans="1:7" ht="19.5" customHeight="1">
      <c r="A43" s="3768"/>
      <c r="B43" s="3760"/>
      <c r="C43" s="3105" t="s">
        <v>2485</v>
      </c>
      <c r="D43" s="3106"/>
      <c r="E43" s="3107">
        <v>1.5</v>
      </c>
      <c r="F43" s="3104" t="s">
        <v>2486</v>
      </c>
      <c r="G43" s="3104"/>
    </row>
    <row r="44" spans="1:7" ht="19.5" customHeight="1">
      <c r="A44" s="3768"/>
      <c r="B44" s="3116" t="s">
        <v>2637</v>
      </c>
      <c r="C44" s="3105" t="s">
        <v>2638</v>
      </c>
      <c r="D44" s="3106"/>
      <c r="E44" s="3107">
        <v>2</v>
      </c>
      <c r="F44" s="3104" t="s">
        <v>2487</v>
      </c>
      <c r="G44" s="3104"/>
    </row>
    <row r="45" spans="1:7" ht="19.5" customHeight="1">
      <c r="A45" s="3768"/>
      <c r="B45" s="3759" t="s">
        <v>2639</v>
      </c>
      <c r="C45" s="3105" t="s">
        <v>2488</v>
      </c>
      <c r="D45" s="3106"/>
      <c r="E45" s="3107">
        <v>1</v>
      </c>
      <c r="F45" s="3104" t="s">
        <v>2489</v>
      </c>
      <c r="G45" s="3104"/>
    </row>
    <row r="46" spans="1:7" ht="19.5" customHeight="1">
      <c r="A46" s="3768"/>
      <c r="B46" s="3761"/>
      <c r="C46" s="3105" t="s">
        <v>2490</v>
      </c>
      <c r="D46" s="3106"/>
      <c r="E46" s="3107">
        <v>1</v>
      </c>
      <c r="F46" s="3104" t="s">
        <v>2491</v>
      </c>
      <c r="G46" s="3104"/>
    </row>
    <row r="47" spans="1:7" ht="19.5" customHeight="1">
      <c r="A47" s="3768"/>
      <c r="B47" s="3761"/>
      <c r="C47" s="3105" t="s">
        <v>2492</v>
      </c>
      <c r="D47" s="3106"/>
      <c r="E47" s="3107">
        <v>1</v>
      </c>
      <c r="F47" s="3104" t="s">
        <v>2493</v>
      </c>
      <c r="G47" s="3104"/>
    </row>
    <row r="48" spans="1:7" ht="19.5" customHeight="1">
      <c r="A48" s="3768"/>
      <c r="B48" s="3761"/>
      <c r="C48" s="3105" t="s">
        <v>2494</v>
      </c>
      <c r="D48" s="3106"/>
      <c r="E48" s="3107">
        <v>1</v>
      </c>
      <c r="F48" s="3104" t="s">
        <v>2495</v>
      </c>
      <c r="G48" s="3104"/>
    </row>
    <row r="49" spans="1:7" ht="19.5" customHeight="1">
      <c r="A49" s="3768"/>
      <c r="B49" s="3761"/>
      <c r="C49" s="3105" t="s">
        <v>2496</v>
      </c>
      <c r="D49" s="3106"/>
      <c r="E49" s="3107">
        <v>1</v>
      </c>
      <c r="F49" s="3104" t="s">
        <v>2497</v>
      </c>
      <c r="G49" s="3104"/>
    </row>
    <row r="50" spans="1:7" ht="19.5" customHeight="1">
      <c r="A50" s="3768"/>
      <c r="B50" s="3761"/>
      <c r="C50" s="3105" t="s">
        <v>2498</v>
      </c>
      <c r="D50" s="3106"/>
      <c r="E50" s="3107">
        <v>1</v>
      </c>
      <c r="F50" s="3104" t="s">
        <v>2499</v>
      </c>
      <c r="G50" s="3104"/>
    </row>
    <row r="51" spans="1:7" ht="19.5" customHeight="1" thickBot="1">
      <c r="A51" s="3769"/>
      <c r="B51" s="3763"/>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59" t="s">
        <v>2653</v>
      </c>
      <c r="C73" s="3090" t="s">
        <v>2654</v>
      </c>
      <c r="D73" s="3090" t="s">
        <v>2655</v>
      </c>
      <c r="E73" s="3116">
        <v>0.2</v>
      </c>
      <c r="F73" s="3116">
        <v>25</v>
      </c>
    </row>
    <row r="74" spans="1:7" ht="24">
      <c r="A74" s="3116">
        <v>2</v>
      </c>
      <c r="B74" s="3761"/>
      <c r="C74" s="3090" t="s">
        <v>2656</v>
      </c>
      <c r="D74" s="3090" t="s">
        <v>2657</v>
      </c>
      <c r="E74" s="3116">
        <v>0.2</v>
      </c>
      <c r="F74" s="3116">
        <v>25</v>
      </c>
    </row>
    <row r="75" spans="1:7" ht="24">
      <c r="A75" s="3116">
        <v>3</v>
      </c>
      <c r="B75" s="3761"/>
      <c r="C75" s="3090" t="s">
        <v>2658</v>
      </c>
      <c r="D75" s="3090" t="s">
        <v>2659</v>
      </c>
      <c r="E75" s="3116">
        <v>0.2</v>
      </c>
      <c r="F75" s="3116">
        <v>25</v>
      </c>
    </row>
    <row r="76" spans="1:7" ht="13.5">
      <c r="A76" s="3116">
        <v>4</v>
      </c>
      <c r="B76" s="3761"/>
      <c r="C76" s="3090" t="s">
        <v>2660</v>
      </c>
      <c r="D76" s="3090" t="s">
        <v>2661</v>
      </c>
      <c r="E76" s="3116">
        <v>0.15</v>
      </c>
      <c r="F76" s="3116">
        <v>20</v>
      </c>
    </row>
    <row r="77" spans="1:7" ht="24">
      <c r="A77" s="3116">
        <v>5</v>
      </c>
      <c r="B77" s="3761"/>
      <c r="C77" s="3090" t="s">
        <v>2662</v>
      </c>
      <c r="D77" s="3090" t="s">
        <v>2663</v>
      </c>
      <c r="E77" s="3116">
        <v>0.15</v>
      </c>
      <c r="F77" s="3116">
        <v>20</v>
      </c>
    </row>
    <row r="78" spans="1:7" ht="24">
      <c r="A78" s="3116">
        <v>6</v>
      </c>
      <c r="B78" s="3761"/>
      <c r="C78" s="3090" t="s">
        <v>2664</v>
      </c>
      <c r="D78" s="3090" t="s">
        <v>2665</v>
      </c>
      <c r="E78" s="3116">
        <v>0.15</v>
      </c>
      <c r="F78" s="3116">
        <v>20</v>
      </c>
    </row>
    <row r="79" spans="1:7" ht="24">
      <c r="A79" s="3116">
        <v>7</v>
      </c>
      <c r="B79" s="3761"/>
      <c r="C79" s="3090" t="s">
        <v>2666</v>
      </c>
      <c r="D79" s="3090" t="s">
        <v>2667</v>
      </c>
      <c r="E79" s="3116">
        <v>0.15</v>
      </c>
      <c r="F79" s="3116">
        <v>20</v>
      </c>
    </row>
    <row r="80" spans="1:7" ht="24">
      <c r="A80" s="3116">
        <v>8</v>
      </c>
      <c r="B80" s="3761"/>
      <c r="C80" s="3090" t="s">
        <v>2668</v>
      </c>
      <c r="D80" s="3090" t="s">
        <v>2669</v>
      </c>
      <c r="E80" s="3116">
        <v>0.1</v>
      </c>
      <c r="F80" s="3116">
        <v>15</v>
      </c>
    </row>
    <row r="81" spans="1:6" ht="24">
      <c r="A81" s="3116">
        <v>9</v>
      </c>
      <c r="B81" s="3761"/>
      <c r="C81" s="3090" t="s">
        <v>2670</v>
      </c>
      <c r="D81" s="3090" t="s">
        <v>2671</v>
      </c>
      <c r="E81" s="3116">
        <v>0.1</v>
      </c>
      <c r="F81" s="3116">
        <v>15</v>
      </c>
    </row>
    <row r="82" spans="1:6" ht="24">
      <c r="A82" s="3116">
        <v>10</v>
      </c>
      <c r="B82" s="3761"/>
      <c r="C82" s="3090" t="s">
        <v>2672</v>
      </c>
      <c r="D82" s="3090" t="s">
        <v>2673</v>
      </c>
      <c r="E82" s="3116">
        <v>0.1</v>
      </c>
      <c r="F82" s="3116">
        <v>15</v>
      </c>
    </row>
    <row r="83" spans="1:6" ht="24">
      <c r="A83" s="3116">
        <v>11</v>
      </c>
      <c r="B83" s="3761"/>
      <c r="C83" s="3090" t="s">
        <v>2674</v>
      </c>
      <c r="D83" s="3090" t="s">
        <v>2675</v>
      </c>
      <c r="E83" s="3116">
        <v>0.1</v>
      </c>
      <c r="F83" s="3116">
        <v>15</v>
      </c>
    </row>
    <row r="84" spans="1:6" ht="24">
      <c r="A84" s="3116">
        <v>12</v>
      </c>
      <c r="B84" s="3761"/>
      <c r="C84" s="3090" t="s">
        <v>2676</v>
      </c>
      <c r="D84" s="3090" t="s">
        <v>2677</v>
      </c>
      <c r="E84" s="3116">
        <v>0.1</v>
      </c>
      <c r="F84" s="3116">
        <v>15</v>
      </c>
    </row>
    <row r="85" spans="1:6" ht="13.5">
      <c r="A85" s="3116">
        <v>13</v>
      </c>
      <c r="B85" s="3761"/>
      <c r="C85" s="3090" t="s">
        <v>2678</v>
      </c>
      <c r="D85" s="3090" t="s">
        <v>2679</v>
      </c>
      <c r="E85" s="3116">
        <v>0.1</v>
      </c>
      <c r="F85" s="3116">
        <v>15</v>
      </c>
    </row>
    <row r="86" spans="1:6" ht="13.5">
      <c r="A86" s="3116">
        <v>14</v>
      </c>
      <c r="B86" s="3761"/>
      <c r="C86" s="3090" t="s">
        <v>2680</v>
      </c>
      <c r="D86" s="3090" t="s">
        <v>2681</v>
      </c>
      <c r="E86" s="3116">
        <v>0.1</v>
      </c>
      <c r="F86" s="3116">
        <v>15</v>
      </c>
    </row>
    <row r="87" spans="1:6" ht="13.5">
      <c r="A87" s="3116">
        <v>15</v>
      </c>
      <c r="B87" s="3761"/>
      <c r="C87" s="3090" t="s">
        <v>2682</v>
      </c>
      <c r="D87" s="3090" t="s">
        <v>2683</v>
      </c>
      <c r="E87" s="3116">
        <v>0.1</v>
      </c>
      <c r="F87" s="3116">
        <v>15</v>
      </c>
    </row>
    <row r="88" spans="1:6" ht="24">
      <c r="A88" s="3116">
        <v>16</v>
      </c>
      <c r="B88" s="3761"/>
      <c r="C88" s="3090" t="s">
        <v>2684</v>
      </c>
      <c r="D88" s="3090" t="s">
        <v>2685</v>
      </c>
      <c r="E88" s="3116">
        <v>0.1</v>
      </c>
      <c r="F88" s="3116">
        <v>15</v>
      </c>
    </row>
    <row r="89" spans="1:6" ht="24">
      <c r="A89" s="3116">
        <v>17</v>
      </c>
      <c r="B89" s="3760"/>
      <c r="C89" s="3090" t="s">
        <v>2686</v>
      </c>
      <c r="D89" s="3090" t="s">
        <v>2687</v>
      </c>
      <c r="E89" s="3116">
        <v>0.1</v>
      </c>
      <c r="F89" s="3116">
        <v>15</v>
      </c>
    </row>
    <row r="90" spans="1:6" ht="13.5">
      <c r="A90" s="3116">
        <v>18</v>
      </c>
      <c r="B90" s="3759" t="s">
        <v>2688</v>
      </c>
      <c r="C90" s="3090" t="s">
        <v>2689</v>
      </c>
      <c r="D90" s="3090" t="s">
        <v>2690</v>
      </c>
      <c r="E90" s="3116">
        <v>0.2</v>
      </c>
      <c r="F90" s="3116">
        <v>25</v>
      </c>
    </row>
    <row r="91" spans="1:6" ht="24">
      <c r="A91" s="3116">
        <v>19</v>
      </c>
      <c r="B91" s="3761"/>
      <c r="C91" s="3090" t="s">
        <v>2691</v>
      </c>
      <c r="D91" s="3090" t="s">
        <v>2692</v>
      </c>
      <c r="E91" s="3116">
        <v>0.2</v>
      </c>
      <c r="F91" s="3116">
        <v>25</v>
      </c>
    </row>
    <row r="92" spans="1:6" ht="13.5">
      <c r="A92" s="3116">
        <v>20</v>
      </c>
      <c r="B92" s="3761"/>
      <c r="C92" s="3090" t="s">
        <v>2693</v>
      </c>
      <c r="D92" s="3090" t="s">
        <v>2694</v>
      </c>
      <c r="E92" s="3116">
        <v>0.15</v>
      </c>
      <c r="F92" s="3116">
        <v>20</v>
      </c>
    </row>
    <row r="93" spans="1:6" ht="13.5">
      <c r="A93" s="3116">
        <v>21</v>
      </c>
      <c r="B93" s="3761"/>
      <c r="C93" s="3090" t="s">
        <v>2695</v>
      </c>
      <c r="D93" s="3090" t="s">
        <v>2696</v>
      </c>
      <c r="E93" s="3116">
        <v>0.15</v>
      </c>
      <c r="F93" s="3116">
        <v>20</v>
      </c>
    </row>
    <row r="94" spans="1:6" ht="13.5">
      <c r="A94" s="3116">
        <v>22</v>
      </c>
      <c r="B94" s="3761"/>
      <c r="C94" s="3090" t="s">
        <v>2697</v>
      </c>
      <c r="D94" s="3090" t="s">
        <v>2698</v>
      </c>
      <c r="E94" s="3116">
        <v>0.15</v>
      </c>
      <c r="F94" s="3116">
        <v>20</v>
      </c>
    </row>
    <row r="95" spans="1:6" ht="36">
      <c r="A95" s="3116">
        <v>23</v>
      </c>
      <c r="B95" s="3761"/>
      <c r="C95" s="3090" t="s">
        <v>2699</v>
      </c>
      <c r="D95" s="3090" t="s">
        <v>2700</v>
      </c>
      <c r="E95" s="3116">
        <v>0.15</v>
      </c>
      <c r="F95" s="3116">
        <v>20</v>
      </c>
    </row>
    <row r="96" spans="1:6" ht="13.5">
      <c r="A96" s="3116">
        <v>24</v>
      </c>
      <c r="B96" s="3761"/>
      <c r="C96" s="3090" t="s">
        <v>2701</v>
      </c>
      <c r="D96" s="3090" t="s">
        <v>2702</v>
      </c>
      <c r="E96" s="3116">
        <v>0.1</v>
      </c>
      <c r="F96" s="3116">
        <v>15</v>
      </c>
    </row>
    <row r="97" spans="1:6" ht="13.5">
      <c r="A97" s="3116">
        <v>25</v>
      </c>
      <c r="B97" s="3761"/>
      <c r="C97" s="3090" t="s">
        <v>2703</v>
      </c>
      <c r="D97" s="3090" t="s">
        <v>2704</v>
      </c>
      <c r="E97" s="3116">
        <v>0.1</v>
      </c>
      <c r="F97" s="3116">
        <v>15</v>
      </c>
    </row>
    <row r="98" spans="1:6" ht="24">
      <c r="A98" s="3116">
        <v>26</v>
      </c>
      <c r="B98" s="3761"/>
      <c r="C98" s="3090" t="s">
        <v>2705</v>
      </c>
      <c r="D98" s="3090" t="s">
        <v>2706</v>
      </c>
      <c r="E98" s="3116">
        <v>0.1</v>
      </c>
      <c r="F98" s="3116">
        <v>15</v>
      </c>
    </row>
    <row r="99" spans="1:6" ht="24">
      <c r="A99" s="3116">
        <v>27</v>
      </c>
      <c r="B99" s="3761"/>
      <c r="C99" s="3090" t="s">
        <v>2707</v>
      </c>
      <c r="D99" s="3090" t="s">
        <v>2708</v>
      </c>
      <c r="E99" s="3116">
        <v>0.1</v>
      </c>
      <c r="F99" s="3116">
        <v>15</v>
      </c>
    </row>
    <row r="100" spans="1:6" ht="13.5">
      <c r="A100" s="3116">
        <v>28</v>
      </c>
      <c r="B100" s="3761"/>
      <c r="C100" s="3090" t="s">
        <v>2709</v>
      </c>
      <c r="D100" s="3090" t="s">
        <v>2710</v>
      </c>
      <c r="E100" s="3116">
        <v>0.1</v>
      </c>
      <c r="F100" s="3116">
        <v>15</v>
      </c>
    </row>
    <row r="101" spans="1:6" ht="13.5">
      <c r="A101" s="3116">
        <v>29</v>
      </c>
      <c r="B101" s="3761"/>
      <c r="C101" s="3090" t="s">
        <v>2711</v>
      </c>
      <c r="D101" s="3090" t="s">
        <v>2712</v>
      </c>
      <c r="E101" s="3116">
        <v>0.1</v>
      </c>
      <c r="F101" s="3116">
        <v>15</v>
      </c>
    </row>
    <row r="102" spans="1:6" ht="13.5">
      <c r="A102" s="3116">
        <v>30</v>
      </c>
      <c r="B102" s="3761"/>
      <c r="C102" s="3090" t="s">
        <v>2713</v>
      </c>
      <c r="D102" s="3090" t="s">
        <v>2714</v>
      </c>
      <c r="E102" s="3116">
        <v>0.1</v>
      </c>
      <c r="F102" s="3116">
        <v>15</v>
      </c>
    </row>
    <row r="103" spans="1:6" ht="24">
      <c r="A103" s="3116">
        <v>31</v>
      </c>
      <c r="B103" s="3761"/>
      <c r="C103" s="3090" t="s">
        <v>2715</v>
      </c>
      <c r="D103" s="3090" t="s">
        <v>2716</v>
      </c>
      <c r="E103" s="3116">
        <v>0.1</v>
      </c>
      <c r="F103" s="3116">
        <v>15</v>
      </c>
    </row>
    <row r="104" spans="1:6" ht="24">
      <c r="A104" s="3116">
        <v>32</v>
      </c>
      <c r="B104" s="3761"/>
      <c r="C104" s="3090" t="s">
        <v>2717</v>
      </c>
      <c r="D104" s="3090" t="s">
        <v>2718</v>
      </c>
      <c r="E104" s="3116">
        <v>0.1</v>
      </c>
      <c r="F104" s="3116">
        <v>15</v>
      </c>
    </row>
    <row r="105" spans="1:6" ht="24">
      <c r="A105" s="3116">
        <v>33</v>
      </c>
      <c r="B105" s="3761"/>
      <c r="C105" s="3090" t="s">
        <v>2719</v>
      </c>
      <c r="D105" s="3090" t="s">
        <v>2720</v>
      </c>
      <c r="E105" s="3116">
        <v>0.1</v>
      </c>
      <c r="F105" s="3116">
        <v>15</v>
      </c>
    </row>
    <row r="106" spans="1:6" ht="24">
      <c r="A106" s="3116">
        <v>34</v>
      </c>
      <c r="B106" s="3760"/>
      <c r="C106" s="3090" t="s">
        <v>2721</v>
      </c>
      <c r="D106" s="3090" t="s">
        <v>2722</v>
      </c>
      <c r="E106" s="3116">
        <v>0.1</v>
      </c>
      <c r="F106" s="3116">
        <v>15</v>
      </c>
    </row>
    <row r="107" spans="1:6" ht="24">
      <c r="A107" s="3116">
        <v>35</v>
      </c>
      <c r="B107" s="3759" t="s">
        <v>2723</v>
      </c>
      <c r="C107" s="3116" t="s">
        <v>2724</v>
      </c>
      <c r="D107" s="3090" t="s">
        <v>2725</v>
      </c>
      <c r="E107" s="3116">
        <v>0.15</v>
      </c>
      <c r="F107" s="3116">
        <v>20</v>
      </c>
    </row>
    <row r="108" spans="1:6" ht="13.5">
      <c r="A108" s="3116">
        <v>36</v>
      </c>
      <c r="B108" s="3761"/>
      <c r="C108" s="3116" t="s">
        <v>2726</v>
      </c>
      <c r="D108" s="3090" t="s">
        <v>2727</v>
      </c>
      <c r="E108" s="3116">
        <v>0.15</v>
      </c>
      <c r="F108" s="3116">
        <v>20</v>
      </c>
    </row>
    <row r="109" spans="1:6" ht="13.5">
      <c r="A109" s="3116">
        <v>37</v>
      </c>
      <c r="B109" s="3761"/>
      <c r="C109" s="3116" t="s">
        <v>2728</v>
      </c>
      <c r="D109" s="3090" t="s">
        <v>2729</v>
      </c>
      <c r="E109" s="3116">
        <v>0.15</v>
      </c>
      <c r="F109" s="3116">
        <v>20</v>
      </c>
    </row>
    <row r="110" spans="1:6" ht="13.5">
      <c r="A110" s="3116">
        <v>38</v>
      </c>
      <c r="B110" s="3761"/>
      <c r="C110" s="3116" t="s">
        <v>2730</v>
      </c>
      <c r="D110" s="3090" t="s">
        <v>2731</v>
      </c>
      <c r="E110" s="3116">
        <v>0.1</v>
      </c>
      <c r="F110" s="3116">
        <v>15</v>
      </c>
    </row>
    <row r="111" spans="1:6" ht="24">
      <c r="A111" s="3116">
        <v>39</v>
      </c>
      <c r="B111" s="3761"/>
      <c r="C111" s="3116" t="s">
        <v>2732</v>
      </c>
      <c r="D111" s="3090" t="s">
        <v>2733</v>
      </c>
      <c r="E111" s="3116">
        <v>0.1</v>
      </c>
      <c r="F111" s="3116">
        <v>15</v>
      </c>
    </row>
    <row r="112" spans="1:6" ht="24">
      <c r="A112" s="3116">
        <v>40</v>
      </c>
      <c r="B112" s="3760"/>
      <c r="C112" s="3116" t="s">
        <v>2734</v>
      </c>
      <c r="D112" s="3090" t="s">
        <v>2735</v>
      </c>
      <c r="E112" s="3116">
        <v>0.1</v>
      </c>
      <c r="F112" s="3116">
        <v>15</v>
      </c>
    </row>
    <row r="113" spans="1:6" ht="13.5">
      <c r="A113" s="3116">
        <v>41</v>
      </c>
      <c r="B113" s="3758" t="s">
        <v>2736</v>
      </c>
      <c r="C113" s="3116" t="s">
        <v>2737</v>
      </c>
      <c r="D113" s="3090" t="s">
        <v>2738</v>
      </c>
      <c r="E113" s="3116">
        <v>0.1</v>
      </c>
      <c r="F113" s="3116">
        <v>15</v>
      </c>
    </row>
    <row r="114" spans="1:6" ht="13.5">
      <c r="A114" s="3116">
        <v>42</v>
      </c>
      <c r="B114" s="3758"/>
      <c r="C114" s="3116" t="s">
        <v>2739</v>
      </c>
      <c r="D114" s="3090" t="s">
        <v>2740</v>
      </c>
      <c r="E114" s="3116">
        <v>0.1</v>
      </c>
      <c r="F114" s="3116">
        <v>15</v>
      </c>
    </row>
    <row r="115" spans="1:6" ht="24">
      <c r="A115" s="3116">
        <v>43</v>
      </c>
      <c r="B115" s="3758"/>
      <c r="C115" s="3116" t="s">
        <v>2741</v>
      </c>
      <c r="D115" s="3090" t="s">
        <v>2742</v>
      </c>
      <c r="E115" s="3116">
        <v>0.1</v>
      </c>
      <c r="F115" s="3116">
        <v>15</v>
      </c>
    </row>
    <row r="116" spans="1:6" ht="13.5">
      <c r="A116" s="3116">
        <v>44</v>
      </c>
      <c r="B116" s="3759" t="s">
        <v>2743</v>
      </c>
      <c r="C116" s="3116" t="s">
        <v>2744</v>
      </c>
      <c r="D116" s="3090" t="s">
        <v>2745</v>
      </c>
      <c r="E116" s="3116">
        <v>0.1</v>
      </c>
      <c r="F116" s="3116">
        <v>15</v>
      </c>
    </row>
    <row r="117" spans="1:6" ht="24">
      <c r="A117" s="3116">
        <v>45</v>
      </c>
      <c r="B117" s="3760"/>
      <c r="C117" s="3090" t="s">
        <v>2746</v>
      </c>
      <c r="D117" s="3090" t="s">
        <v>2747</v>
      </c>
      <c r="E117" s="3116">
        <v>0.1</v>
      </c>
      <c r="F117" s="3116">
        <v>15</v>
      </c>
    </row>
    <row r="118" spans="1:6" ht="24">
      <c r="A118" s="3116">
        <v>46</v>
      </c>
      <c r="B118" s="3759" t="s">
        <v>2748</v>
      </c>
      <c r="C118" s="3116" t="s">
        <v>2749</v>
      </c>
      <c r="D118" s="3090" t="s">
        <v>2750</v>
      </c>
      <c r="E118" s="3116">
        <v>0.1</v>
      </c>
      <c r="F118" s="3116">
        <v>15</v>
      </c>
    </row>
    <row r="119" spans="1:6" ht="24">
      <c r="A119" s="3116">
        <v>47</v>
      </c>
      <c r="B119" s="3760"/>
      <c r="C119" s="3116" t="s">
        <v>2751</v>
      </c>
      <c r="D119" s="3090" t="s">
        <v>2752</v>
      </c>
      <c r="E119" s="3116">
        <v>0.1</v>
      </c>
      <c r="F119" s="3116">
        <v>15</v>
      </c>
    </row>
    <row r="120" spans="1:6" ht="13.5">
      <c r="A120" s="3116">
        <v>48</v>
      </c>
      <c r="B120" s="3759" t="s">
        <v>2753</v>
      </c>
      <c r="C120" s="3116" t="s">
        <v>2754</v>
      </c>
      <c r="D120" s="3090" t="s">
        <v>2755</v>
      </c>
      <c r="E120" s="3116">
        <v>0.1</v>
      </c>
      <c r="F120" s="3116">
        <v>15</v>
      </c>
    </row>
    <row r="121" spans="1:6" ht="13.5">
      <c r="A121" s="3116">
        <v>49</v>
      </c>
      <c r="B121" s="3760"/>
      <c r="C121" s="3116" t="s">
        <v>2756</v>
      </c>
      <c r="D121" s="3090" t="s">
        <v>2757</v>
      </c>
      <c r="E121" s="3116">
        <v>0.1</v>
      </c>
      <c r="F121" s="3116">
        <v>15</v>
      </c>
    </row>
    <row r="122" spans="1:6" ht="24">
      <c r="A122" s="3116">
        <v>50</v>
      </c>
      <c r="B122" s="3758" t="s">
        <v>2758</v>
      </c>
      <c r="C122" s="3116" t="s">
        <v>2759</v>
      </c>
      <c r="D122" s="3090" t="s">
        <v>2760</v>
      </c>
      <c r="E122" s="3116">
        <v>0.1</v>
      </c>
      <c r="F122" s="3116">
        <v>15</v>
      </c>
    </row>
    <row r="123" spans="1:6" ht="24">
      <c r="A123" s="3116">
        <v>51</v>
      </c>
      <c r="B123" s="3758"/>
      <c r="C123" s="3116" t="s">
        <v>2761</v>
      </c>
      <c r="D123" s="3090" t="s">
        <v>2762</v>
      </c>
      <c r="E123" s="3116">
        <v>0.1</v>
      </c>
      <c r="F123" s="3116">
        <v>15</v>
      </c>
    </row>
    <row r="124" spans="1:6" ht="24">
      <c r="A124" s="3116">
        <v>52</v>
      </c>
      <c r="B124" s="3758" t="s">
        <v>2763</v>
      </c>
      <c r="C124" s="3116" t="s">
        <v>2764</v>
      </c>
      <c r="D124" s="3090" t="s">
        <v>2765</v>
      </c>
      <c r="E124" s="3116">
        <v>0.1</v>
      </c>
      <c r="F124" s="3116">
        <v>15</v>
      </c>
    </row>
    <row r="125" spans="1:6" ht="24">
      <c r="A125" s="3116">
        <v>53</v>
      </c>
      <c r="B125" s="3758"/>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58" t="s">
        <v>2771</v>
      </c>
      <c r="C127" s="3116" t="s">
        <v>2772</v>
      </c>
      <c r="D127" s="3090" t="s">
        <v>2773</v>
      </c>
      <c r="E127" s="3116">
        <v>0.1</v>
      </c>
      <c r="F127" s="3116">
        <v>15</v>
      </c>
    </row>
    <row r="128" spans="1:6" ht="13.5">
      <c r="A128" s="3116">
        <v>56</v>
      </c>
      <c r="B128" s="3758"/>
      <c r="C128" s="3116" t="s">
        <v>2774</v>
      </c>
      <c r="D128" s="3090" t="s">
        <v>2775</v>
      </c>
      <c r="E128" s="3116">
        <v>0.1</v>
      </c>
      <c r="F128" s="3116">
        <v>15</v>
      </c>
    </row>
    <row r="129" spans="1:6" ht="24">
      <c r="A129" s="3116">
        <v>57</v>
      </c>
      <c r="B129" s="3758"/>
      <c r="C129" s="3116" t="s">
        <v>2776</v>
      </c>
      <c r="D129" s="3090" t="s">
        <v>2777</v>
      </c>
      <c r="E129" s="3116">
        <v>0.1</v>
      </c>
      <c r="F129" s="3116">
        <v>15</v>
      </c>
    </row>
    <row r="130" spans="1:6" ht="24">
      <c r="A130" s="3116">
        <v>58</v>
      </c>
      <c r="B130" s="3758" t="s">
        <v>2778</v>
      </c>
      <c r="C130" s="3116" t="s">
        <v>2779</v>
      </c>
      <c r="D130" s="3090" t="s">
        <v>2780</v>
      </c>
      <c r="E130" s="3116">
        <v>0.1</v>
      </c>
      <c r="F130" s="3116">
        <v>15</v>
      </c>
    </row>
    <row r="131" spans="1:6" ht="13.5">
      <c r="A131" s="3116">
        <v>59</v>
      </c>
      <c r="B131" s="3758"/>
      <c r="C131" s="3116" t="s">
        <v>2781</v>
      </c>
      <c r="D131" s="3090" t="s">
        <v>2782</v>
      </c>
      <c r="E131" s="3116">
        <v>0.1</v>
      </c>
      <c r="F131" s="3116">
        <v>15</v>
      </c>
    </row>
    <row r="132" spans="1:6" ht="13.5">
      <c r="A132" s="3116">
        <v>60</v>
      </c>
      <c r="B132" s="3759" t="s">
        <v>2783</v>
      </c>
      <c r="C132" s="3116" t="s">
        <v>2784</v>
      </c>
      <c r="D132" s="3090" t="s">
        <v>2785</v>
      </c>
      <c r="E132" s="3116">
        <v>0.1</v>
      </c>
      <c r="F132" s="3116">
        <v>15</v>
      </c>
    </row>
    <row r="133" spans="1:6" ht="13.5">
      <c r="A133" s="3116">
        <v>61</v>
      </c>
      <c r="B133" s="376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58" t="s">
        <v>2791</v>
      </c>
      <c r="C135" s="3116" t="s">
        <v>2792</v>
      </c>
      <c r="D135" s="3090" t="s">
        <v>2793</v>
      </c>
      <c r="E135" s="3116">
        <v>0.1</v>
      </c>
      <c r="F135" s="3116">
        <v>15</v>
      </c>
    </row>
    <row r="136" spans="1:6" ht="13.5">
      <c r="A136" s="3116">
        <v>64</v>
      </c>
      <c r="B136" s="3758"/>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28332</v>
      </c>
      <c r="C2" s="2" t="s">
        <v>106</v>
      </c>
      <c r="D2" s="199"/>
      <c r="E2" s="199"/>
      <c r="F2" s="199"/>
      <c r="G2" s="199"/>
    </row>
    <row r="3" spans="1:7" s="200" customFormat="1" ht="18" customHeight="1" thickBot="1">
      <c r="A3" s="203" t="s">
        <v>58</v>
      </c>
      <c r="B3" s="204">
        <f ca="1">ROUND(B2*10000/'数据-汇总表'!E3,0)</f>
        <v>1604576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4</v>
      </c>
      <c r="D10" s="843">
        <f>'数据-汇总表'!E6</f>
        <v>176.57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176.57</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1317</v>
      </c>
      <c r="D22" s="235">
        <f ca="1">C26</f>
        <v>8.9999999999999998E-4</v>
      </c>
      <c r="E22" s="236" t="s">
        <v>99</v>
      </c>
      <c r="F22" s="237">
        <f ca="1">'数据-取费表'!B40</f>
        <v>3.1000000000000003E-2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1298</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8.9999999999999998E-4</v>
      </c>
      <c r="D26" s="238"/>
      <c r="E26" s="241"/>
      <c r="F26" s="239"/>
      <c r="G26" s="243"/>
    </row>
    <row r="27" spans="1:7" s="214" customFormat="1" ht="24.75">
      <c r="A27" s="775" t="s">
        <v>342</v>
      </c>
      <c r="B27" s="244" t="s">
        <v>85</v>
      </c>
      <c r="C27" s="245">
        <f>C28</f>
        <v>3185</v>
      </c>
      <c r="D27" s="235">
        <f>C29</f>
        <v>4.4999999999999997E-3</v>
      </c>
      <c r="E27" s="236" t="s">
        <v>99</v>
      </c>
      <c r="F27" s="246">
        <f>'数据-取费表'!Q16</f>
        <v>0.15</v>
      </c>
      <c r="G27" s="247" t="s">
        <v>431</v>
      </c>
    </row>
    <row r="28" spans="1:7" s="214" customFormat="1" ht="13.5" customHeight="1">
      <c r="A28" s="778" t="s">
        <v>349</v>
      </c>
      <c r="B28" s="248" t="s">
        <v>424</v>
      </c>
      <c r="C28" s="249">
        <f>ROUND((C5+C19+C20)*F27*'数据-取费表'!B21/'数据-取费表'!B20,0)</f>
        <v>3185</v>
      </c>
      <c r="D28" s="235"/>
      <c r="E28" s="236"/>
      <c r="F28" s="246"/>
      <c r="G28" s="247"/>
    </row>
    <row r="29" spans="1:7" s="214" customFormat="1" ht="13.5" customHeight="1">
      <c r="A29" s="778" t="s">
        <v>347</v>
      </c>
      <c r="B29" s="248" t="s">
        <v>425</v>
      </c>
      <c r="C29" s="238">
        <f>ROUND(C21*F27*'数据-取费表'!B21/'数据-取费表'!B20,4)</f>
        <v>4.4999999999999997E-3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28240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78" t="s">
        <v>353</v>
      </c>
      <c r="B37" s="215" t="s">
        <v>91</v>
      </c>
      <c r="C37" s="249">
        <f>ROUND(E37*D37*F34/10000,0)</f>
        <v>3</v>
      </c>
      <c r="D37" s="217">
        <f>'数据-汇总表'!E3</f>
        <v>176.57</v>
      </c>
      <c r="E37" s="249">
        <f>'数据-取费表'!B35</f>
        <v>180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3</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3</v>
      </c>
      <c r="D41" s="235">
        <f ca="1">C44</f>
        <v>8.9999999999999998E-4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8.9999999999999998E-4</v>
      </c>
      <c r="D44" s="238"/>
      <c r="E44" s="238"/>
      <c r="F44" s="239"/>
      <c r="G44" s="3636"/>
    </row>
    <row r="45" spans="1:7" s="214" customFormat="1" ht="13.5" customHeight="1">
      <c r="A45" s="775" t="s">
        <v>341</v>
      </c>
      <c r="B45" s="244" t="s">
        <v>85</v>
      </c>
      <c r="C45" s="245">
        <f>C46</f>
        <v>14</v>
      </c>
      <c r="D45" s="235">
        <f>C47</f>
        <v>4.4999999999999997E-3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4.4999999999999997E-3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123</v>
      </c>
      <c r="D49" s="232"/>
      <c r="E49" s="232"/>
      <c r="F49" s="264"/>
      <c r="G49" s="234" t="s">
        <v>435</v>
      </c>
    </row>
    <row r="50" spans="1:7" s="258" customFormat="1" ht="24">
      <c r="A50" s="775" t="s">
        <v>344</v>
      </c>
      <c r="B50" s="210" t="s">
        <v>97</v>
      </c>
      <c r="C50" s="232"/>
      <c r="D50" s="232"/>
      <c r="E50" s="232"/>
      <c r="F50" s="264">
        <f>IF('数据-取费表'!B24=0,'数据-取费表'!N16,1)</f>
        <v>0.75</v>
      </c>
      <c r="G50" s="247" t="s">
        <v>98</v>
      </c>
    </row>
    <row r="51" spans="1:7" ht="16.5" customHeight="1">
      <c r="A51" s="775" t="s">
        <v>345</v>
      </c>
      <c r="B51" s="210" t="s">
        <v>105</v>
      </c>
      <c r="C51" s="232">
        <f ca="1">ROUND(C49*F50,0)</f>
        <v>92</v>
      </c>
      <c r="D51" s="232"/>
      <c r="E51" s="232"/>
      <c r="F51" s="264"/>
      <c r="G51" s="234" t="s">
        <v>37</v>
      </c>
    </row>
    <row r="52" spans="1:7" s="208" customFormat="1" ht="16.5" thickBot="1">
      <c r="A52" s="265" t="s">
        <v>38</v>
      </c>
      <c r="B52" s="266"/>
      <c r="C52" s="267">
        <f ca="1">C31+C51</f>
        <v>28332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f ca="1">结果表!H101</f>
        <v>378</v>
      </c>
      <c r="E5" s="1489"/>
    </row>
    <row r="6" spans="1:5" ht="15.75">
      <c r="A6" s="1489"/>
      <c r="B6" s="3453"/>
      <c r="C6" s="1492" t="s">
        <v>911</v>
      </c>
      <c r="D6" s="848" t="str">
        <f ca="1">NUMBERSTRING(INT(D5*10000),2)&amp;"元整"</f>
        <v>叁佰柒拾捌万元整</v>
      </c>
      <c r="E6" s="1489"/>
    </row>
    <row r="7" spans="1:5" ht="15.75">
      <c r="A7" s="1489"/>
      <c r="B7" s="3458"/>
      <c r="C7" s="1493" t="s">
        <v>912</v>
      </c>
      <c r="D7" s="849">
        <f ca="1">结果表!H102</f>
        <v>21408</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f ca="1">结果表!H107</f>
        <v>378</v>
      </c>
      <c r="E13" s="1489"/>
    </row>
    <row r="14" spans="1:5" ht="15.75">
      <c r="A14" s="1489"/>
      <c r="B14" s="3453"/>
      <c r="C14" s="1492" t="s">
        <v>911</v>
      </c>
      <c r="D14" s="848" t="str">
        <f ca="1">NUMBERSTRING(INT(D13*10000),2)&amp;"元整"</f>
        <v>叁佰柒拾捌万元整</v>
      </c>
      <c r="E14" s="1489"/>
    </row>
    <row r="15" spans="1:5" ht="15">
      <c r="A15" s="1489"/>
      <c r="B15" s="3458"/>
      <c r="C15" s="1493" t="s">
        <v>921</v>
      </c>
      <c r="D15" s="857">
        <f ca="1">结果表!H108</f>
        <v>21408</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2841</v>
      </c>
      <c r="B1" s="3772"/>
      <c r="C1" s="3772"/>
      <c r="D1" s="3772"/>
      <c r="E1" s="3772"/>
      <c r="F1" s="3772"/>
      <c r="G1" s="377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70"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7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3183</v>
      </c>
      <c r="B1" s="3774"/>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3234</v>
      </c>
      <c r="B1" s="3775"/>
      <c r="C1" s="3775"/>
      <c r="D1" s="3775"/>
      <c r="E1" s="3775"/>
      <c r="F1" s="377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45790</v>
      </c>
      <c r="B1" s="3208" t="s">
        <v>3373</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3368</v>
      </c>
    </row>
    <row r="22" spans="1:30" s="3007" customFormat="1">
      <c r="I22" s="3206" t="s">
        <v>2827</v>
      </c>
    </row>
    <row r="23" spans="1:30" s="3007" customFormat="1"/>
    <row r="24" spans="1:30" s="3207" customFormat="1" ht="12.75">
      <c r="B24" s="3208" t="s">
        <v>3374</v>
      </c>
      <c r="C24" s="3209"/>
      <c r="D24" s="3209"/>
      <c r="E24" s="3209"/>
      <c r="F24" s="3209"/>
      <c r="G24" s="3209"/>
      <c r="H24" s="3209"/>
      <c r="I24" s="3209"/>
      <c r="J24" s="3163"/>
      <c r="K24" s="3209" t="s">
        <v>2828</v>
      </c>
      <c r="L24" s="3209"/>
      <c r="M24" s="3209"/>
      <c r="N24" s="3209"/>
      <c r="O24" s="3209"/>
      <c r="P24" s="3209"/>
      <c r="Q24" s="3163"/>
      <c r="R24" s="3777" t="s">
        <v>2829</v>
      </c>
      <c r="S24" s="3778"/>
      <c r="T24" s="3778"/>
      <c r="U24" s="3778"/>
      <c r="V24" s="3778"/>
      <c r="W24" s="3778"/>
      <c r="X24" s="3163"/>
      <c r="Y24" s="3777" t="s">
        <v>2830</v>
      </c>
      <c r="Z24" s="3778"/>
      <c r="AA24" s="3778"/>
      <c r="AB24" s="3778"/>
      <c r="AC24" s="3778"/>
      <c r="AD24" s="3778"/>
    </row>
    <row r="25" spans="1:30" s="3141" customFormat="1" ht="14.2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2.75">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D6:K12"/>
  <sheetViews>
    <sheetView tabSelected="1" workbookViewId="0">
      <selection activeCell="K15" sqref="K15"/>
    </sheetView>
  </sheetViews>
  <sheetFormatPr defaultRowHeight="13.5"/>
  <sheetData>
    <row r="6" spans="4:11">
      <c r="D6" s="3447" t="s">
        <v>3418</v>
      </c>
      <c r="E6" s="3447" t="s">
        <v>3419</v>
      </c>
      <c r="F6" s="3447" t="s">
        <v>3420</v>
      </c>
      <c r="G6" s="3447" t="s">
        <v>3421</v>
      </c>
      <c r="H6" s="3447" t="s">
        <v>3422</v>
      </c>
      <c r="J6" s="3447" t="s">
        <v>3424</v>
      </c>
      <c r="K6" s="3447" t="s">
        <v>3423</v>
      </c>
    </row>
    <row r="7" spans="4:11">
      <c r="D7">
        <v>601</v>
      </c>
      <c r="E7">
        <f>系统读取表!B14</f>
        <v>176.57</v>
      </c>
      <c r="F7" s="3790">
        <f>'数据-基础表'!E13</f>
        <v>27</v>
      </c>
      <c r="G7">
        <f>系统读取表!E14</f>
        <v>21400</v>
      </c>
      <c r="H7">
        <f>系统读取表!D14</f>
        <v>378</v>
      </c>
      <c r="I7">
        <f ca="1">结果表!D34</f>
        <v>0.59799999999999998</v>
      </c>
      <c r="J7">
        <f ca="1">结果表!D118</f>
        <v>226</v>
      </c>
      <c r="K7">
        <f ca="1">结果表!F118</f>
        <v>152</v>
      </c>
    </row>
    <row r="8" spans="4:11">
      <c r="D8">
        <v>602</v>
      </c>
      <c r="E8">
        <f>系统读取表!B15</f>
        <v>144.31</v>
      </c>
      <c r="F8">
        <f>'数据-基础表'!E14</f>
        <v>22.06</v>
      </c>
      <c r="G8">
        <f>系统读取表!E15</f>
        <v>21400</v>
      </c>
      <c r="H8">
        <f>系统读取表!D15</f>
        <v>309</v>
      </c>
      <c r="I8">
        <f ca="1">I7</f>
        <v>0.59799999999999998</v>
      </c>
      <c r="J8">
        <f ca="1">ROUND(I8*H8,0)</f>
        <v>185</v>
      </c>
      <c r="K8">
        <f ca="1">H8-J8</f>
        <v>124</v>
      </c>
    </row>
    <row r="9" spans="4:11">
      <c r="D9">
        <v>603</v>
      </c>
      <c r="E9">
        <f>系统读取表!B16</f>
        <v>153.65</v>
      </c>
      <c r="F9">
        <f>'数据-基础表'!E15</f>
        <v>23.49</v>
      </c>
      <c r="G9">
        <f>系统读取表!E16</f>
        <v>21400</v>
      </c>
      <c r="H9">
        <f>系统读取表!D16</f>
        <v>329</v>
      </c>
      <c r="I9">
        <f t="shared" ref="I9:I11" ca="1" si="0">I8</f>
        <v>0.59799999999999998</v>
      </c>
      <c r="J9">
        <f t="shared" ref="J9:J11" ca="1" si="1">ROUND(I9*H9,0)</f>
        <v>197</v>
      </c>
      <c r="K9">
        <f t="shared" ref="K9:K11" ca="1" si="2">H9-J9</f>
        <v>132</v>
      </c>
    </row>
    <row r="10" spans="4:11">
      <c r="D10">
        <v>604</v>
      </c>
      <c r="E10">
        <f>系统读取表!B17</f>
        <v>119.74</v>
      </c>
      <c r="F10">
        <f>'数据-基础表'!E16</f>
        <v>18.309999999999999</v>
      </c>
      <c r="G10">
        <f>系统读取表!E17</f>
        <v>21400</v>
      </c>
      <c r="H10">
        <f>系统读取表!D17</f>
        <v>256</v>
      </c>
      <c r="I10">
        <f t="shared" ca="1" si="0"/>
        <v>0.59799999999999998</v>
      </c>
      <c r="J10">
        <f t="shared" ca="1" si="1"/>
        <v>153</v>
      </c>
      <c r="K10">
        <f t="shared" ca="1" si="2"/>
        <v>103</v>
      </c>
    </row>
    <row r="11" spans="4:11">
      <c r="D11">
        <v>605</v>
      </c>
      <c r="E11">
        <f>系统读取表!B18</f>
        <v>110.57</v>
      </c>
      <c r="F11">
        <f>'数据-基础表'!E17</f>
        <v>16.91</v>
      </c>
      <c r="G11">
        <f>系统读取表!E18</f>
        <v>21400</v>
      </c>
      <c r="H11">
        <f>系统读取表!D18</f>
        <v>237</v>
      </c>
      <c r="I11">
        <f t="shared" ca="1" si="0"/>
        <v>0.59799999999999998</v>
      </c>
      <c r="J11">
        <f t="shared" ca="1" si="1"/>
        <v>142</v>
      </c>
      <c r="K11">
        <f t="shared" ca="1" si="2"/>
        <v>95</v>
      </c>
    </row>
    <row r="12" spans="4:11">
      <c r="H12">
        <f>SUM(H7:H11)</f>
        <v>1509</v>
      </c>
      <c r="J12">
        <f t="shared" ref="I12:K12" ca="1" si="3">SUM(J7:J11)</f>
        <v>903</v>
      </c>
      <c r="K12">
        <f t="shared" ca="1" si="3"/>
        <v>606</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176.57</v>
      </c>
      <c r="C4" s="852">
        <f>项目基本情况!C18</f>
        <v>27</v>
      </c>
      <c r="D4" s="852">
        <f ca="1">结果表!D118</f>
        <v>226</v>
      </c>
      <c r="E4" s="852">
        <f ca="1">结果表!E118</f>
        <v>12800</v>
      </c>
      <c r="F4" s="852">
        <f ca="1">结果表!F118</f>
        <v>152</v>
      </c>
      <c r="G4" s="852">
        <f ca="1">结果表!G118</f>
        <v>8608</v>
      </c>
      <c r="H4" s="852">
        <f ca="1">结果表!H118</f>
        <v>378</v>
      </c>
      <c r="I4" s="852">
        <f ca="1">结果表!I118</f>
        <v>21408</v>
      </c>
    </row>
    <row r="5" spans="1:9" ht="30" customHeight="1">
      <c r="A5" s="3465" t="s">
        <v>927</v>
      </c>
      <c r="B5" s="3465"/>
      <c r="C5" s="3465"/>
      <c r="D5" s="3465" t="str">
        <f ca="1">结果表!D119</f>
        <v>贰佰贰拾陆万元整</v>
      </c>
      <c r="E5" s="3465"/>
      <c r="F5" s="3465" t="str">
        <f ca="1">结果表!F119</f>
        <v>壹佰伍拾贰万元整</v>
      </c>
      <c r="G5" s="3465"/>
      <c r="H5" s="3465" t="str">
        <f ca="1">结果表!H119</f>
        <v>叁佰柒拾捌万元整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378</v>
      </c>
      <c r="E8" s="3464"/>
      <c r="F8" s="3464"/>
      <c r="G8" s="3464"/>
      <c r="H8" s="3464"/>
      <c r="I8" s="3464"/>
    </row>
    <row r="9" spans="1:9" ht="15">
      <c r="A9" s="3465" t="s">
        <v>927</v>
      </c>
      <c r="B9" s="3465"/>
      <c r="C9" s="3465"/>
      <c r="D9" s="3465" t="str">
        <f ca="1">结果表!D123</f>
        <v>叁佰柒拾捌万元整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2025-05-19T03:07:44Z</dcterms:modified>
</cp:coreProperties>
</file>