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工作\朝阳区红军营东路8号甲2号楼-1至3层全部\"/>
    </mc:Choice>
  </mc:AlternateContent>
  <xr:revisionPtr revIDLastSave="0" documentId="13_ncr:1_{312A3852-FBB2-477C-895D-5878A058C2F9}"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面积" sheetId="80" r:id="rId37"/>
    <sheet name="案例"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R24" i="31" l="1"/>
  <c r="I7" i="33"/>
  <c r="G7" i="33"/>
  <c r="E7" i="33"/>
  <c r="B27" i="31"/>
  <c r="B25" i="31"/>
  <c r="B26" i="31"/>
  <c r="B24" i="31"/>
  <c r="N6" i="1"/>
  <c r="Y6" i="1" s="1"/>
  <c r="G51" i="43"/>
  <c r="G52" i="43"/>
  <c r="G53" i="43"/>
  <c r="G54" i="43"/>
  <c r="G55" i="43"/>
  <c r="G56" i="43"/>
  <c r="G57" i="43"/>
  <c r="G58" i="43"/>
  <c r="G50" i="43"/>
  <c r="D37" i="43"/>
  <c r="U3" i="43"/>
  <c r="U4" i="43"/>
  <c r="U2" i="43"/>
  <c r="J52" i="15"/>
  <c r="X24" i="1"/>
  <c r="X23" i="1"/>
  <c r="X22" i="1"/>
  <c r="X25" i="1" s="1"/>
  <c r="U6" i="1" s="1"/>
  <c r="W25" i="1"/>
  <c r="W24" i="1"/>
  <c r="W22" i="1"/>
  <c r="W23" i="1"/>
  <c r="W21" i="1"/>
  <c r="F19" i="6"/>
  <c r="G19" i="6"/>
  <c r="C19" i="6" l="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Z3" i="79"/>
  <c r="AA28" i="79"/>
  <c r="AD28" i="79" s="1"/>
  <c r="T34" i="79"/>
  <c r="W34" i="79" s="1"/>
  <c r="U40" i="79"/>
  <c r="AD41" i="79"/>
  <c r="S42" i="79"/>
  <c r="U44" i="79"/>
  <c r="AD45" i="79"/>
  <c r="T19" i="79"/>
  <c r="W19" i="79" s="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R29" i="31"/>
  <c r="S29" i="31" s="1"/>
  <c r="R30" i="31"/>
  <c r="S30" i="31" s="1"/>
  <c r="R31" i="31"/>
  <c r="S31" i="31" s="1"/>
  <c r="R32" i="31"/>
  <c r="S32" i="31" s="1"/>
  <c r="R33" i="31"/>
  <c r="S33" i="31" s="1"/>
  <c r="R34" i="31"/>
  <c r="R35" i="31"/>
  <c r="S35" i="31" s="1"/>
  <c r="R36" i="31"/>
  <c r="R37" i="31"/>
  <c r="S37" i="31" s="1"/>
  <c r="R38" i="31"/>
  <c r="S38" i="31" s="1"/>
  <c r="R39" i="31"/>
  <c r="S39" i="31" s="1"/>
  <c r="R40" i="31"/>
  <c r="S40" i="31" s="1"/>
  <c r="R41" i="31"/>
  <c r="S41" i="31" s="1"/>
  <c r="R42" i="31"/>
  <c r="S42" i="31" s="1"/>
  <c r="R43" i="31"/>
  <c r="S43" i="31" s="1"/>
  <c r="R44" i="31"/>
  <c r="S44" i="31" s="1"/>
  <c r="R45" i="31"/>
  <c r="S45" i="31" s="1"/>
  <c r="R46" i="31"/>
  <c r="R47" i="31"/>
  <c r="S47" i="31" s="1"/>
  <c r="R48" i="31"/>
  <c r="S48" i="31" s="1"/>
  <c r="R49" i="31"/>
  <c r="S49" i="31" s="1"/>
  <c r="R50" i="31"/>
  <c r="R51" i="31"/>
  <c r="S51" i="31" s="1"/>
  <c r="R52" i="31"/>
  <c r="R53" i="31"/>
  <c r="S53" i="31" s="1"/>
  <c r="R54" i="31"/>
  <c r="S54" i="31" s="1"/>
  <c r="R55" i="31"/>
  <c r="R56" i="31"/>
  <c r="S56" i="31" s="1"/>
  <c r="R57" i="31"/>
  <c r="S57" i="31" s="1"/>
  <c r="R58" i="31"/>
  <c r="S58" i="31" s="1"/>
  <c r="R59" i="31"/>
  <c r="S59" i="31" s="1"/>
  <c r="R60" i="31"/>
  <c r="R61" i="31"/>
  <c r="S61" i="31" s="1"/>
  <c r="R62" i="31"/>
  <c r="S62" i="31" s="1"/>
  <c r="R63" i="31"/>
  <c r="S63" i="31" s="1"/>
  <c r="R64" i="31"/>
  <c r="S64" i="31" s="1"/>
  <c r="R65" i="31"/>
  <c r="S65" i="31" s="1"/>
  <c r="R66" i="31"/>
  <c r="S66" i="31" s="1"/>
  <c r="R67" i="31"/>
  <c r="S67" i="31" s="1"/>
  <c r="R68" i="31"/>
  <c r="R69" i="31"/>
  <c r="S69" i="31" s="1"/>
  <c r="R70" i="31"/>
  <c r="S70" i="31" s="1"/>
  <c r="R71" i="31"/>
  <c r="R72" i="31"/>
  <c r="S72" i="31" s="1"/>
  <c r="R73" i="31"/>
  <c r="S73" i="31" s="1"/>
  <c r="R74" i="31"/>
  <c r="S74" i="31" s="1"/>
  <c r="R75" i="31"/>
  <c r="S75" i="31" s="1"/>
  <c r="R76" i="31"/>
  <c r="S76" i="31" s="1"/>
  <c r="R77" i="31"/>
  <c r="S77" i="31" s="1"/>
  <c r="R78" i="31"/>
  <c r="S78" i="31" s="1"/>
  <c r="R79" i="3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R93" i="31"/>
  <c r="S93" i="31" s="1"/>
  <c r="R94" i="31"/>
  <c r="S94" i="31" s="1"/>
  <c r="R95" i="3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S142" i="31" s="1"/>
  <c r="R143" i="31"/>
  <c r="S143" i="31" s="1"/>
  <c r="R144" i="31"/>
  <c r="S144" i="31" s="1"/>
  <c r="R145" i="31"/>
  <c r="S145" i="31" s="1"/>
  <c r="R146" i="31"/>
  <c r="S146" i="31" s="1"/>
  <c r="R147" i="31"/>
  <c r="S147" i="31" s="1"/>
  <c r="R148" i="31"/>
  <c r="R149" i="31"/>
  <c r="S149" i="31" s="1"/>
  <c r="R150" i="31"/>
  <c r="R151" i="31"/>
  <c r="S151" i="31" s="1"/>
  <c r="R152" i="31"/>
  <c r="S152" i="31" s="1"/>
  <c r="R153" i="31"/>
  <c r="S153" i="31" s="1"/>
  <c r="R154" i="31"/>
  <c r="R155" i="31"/>
  <c r="S155" i="31" s="1"/>
  <c r="R156" i="31"/>
  <c r="S156" i="31" s="1"/>
  <c r="R157" i="31"/>
  <c r="S157" i="31" s="1"/>
  <c r="R158" i="31"/>
  <c r="S158" i="31" s="1"/>
  <c r="R159" i="31"/>
  <c r="S159" i="31" s="1"/>
  <c r="R160" i="31"/>
  <c r="S160" i="31" s="1"/>
  <c r="R161" i="31"/>
  <c r="S161" i="31" s="1"/>
  <c r="R162" i="31"/>
  <c r="S162" i="31" s="1"/>
  <c r="R163" i="31"/>
  <c r="S163" i="31" s="1"/>
  <c r="R164" i="31"/>
  <c r="R165" i="31"/>
  <c r="S165" i="31" s="1"/>
  <c r="R166" i="31"/>
  <c r="R167" i="31"/>
  <c r="S167" i="31" s="1"/>
  <c r="R168" i="31"/>
  <c r="S168" i="31" s="1"/>
  <c r="R169" i="31"/>
  <c r="S169" i="31" s="1"/>
  <c r="R170" i="31"/>
  <c r="R171" i="31"/>
  <c r="S171" i="31" s="1"/>
  <c r="R172" i="31"/>
  <c r="S172" i="31" s="1"/>
  <c r="R173" i="31"/>
  <c r="S173" i="31" s="1"/>
  <c r="R174" i="31"/>
  <c r="S174" i="31" s="1"/>
  <c r="R175" i="31"/>
  <c r="S175" i="31" s="1"/>
  <c r="R176" i="31"/>
  <c r="R177" i="31"/>
  <c r="S177" i="31" s="1"/>
  <c r="R178" i="31"/>
  <c r="S178" i="31" s="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S190" i="31" s="1"/>
  <c r="R191" i="31"/>
  <c r="S191" i="31" s="1"/>
  <c r="R192" i="31"/>
  <c r="R193" i="31"/>
  <c r="S193" i="31" s="1"/>
  <c r="R194" i="31"/>
  <c r="S194" i="31" s="1"/>
  <c r="R195" i="31"/>
  <c r="S195" i="31" s="1"/>
  <c r="R196" i="31"/>
  <c r="S196" i="31" s="1"/>
  <c r="R197" i="31"/>
  <c r="S197" i="31" s="1"/>
  <c r="R198" i="31"/>
  <c r="R199" i="31"/>
  <c r="S199" i="31" s="1"/>
  <c r="R200" i="31"/>
  <c r="S200" i="31" s="1"/>
  <c r="R201" i="31"/>
  <c r="S201" i="31" s="1"/>
  <c r="R202" i="31"/>
  <c r="R203" i="31"/>
  <c r="S203" i="31" s="1"/>
  <c r="R204" i="31"/>
  <c r="R205" i="31"/>
  <c r="S205" i="31" s="1"/>
  <c r="R206" i="31"/>
  <c r="S206" i="31" s="1"/>
  <c r="R207" i="31"/>
  <c r="S207" i="31" s="1"/>
  <c r="R208" i="31"/>
  <c r="S208" i="31" s="1"/>
  <c r="R209" i="31"/>
  <c r="S209" i="31" s="1"/>
  <c r="R210" i="31"/>
  <c r="S210" i="31" s="1"/>
  <c r="R211" i="31"/>
  <c r="S211" i="31" s="1"/>
  <c r="R212" i="31"/>
  <c r="R213" i="31"/>
  <c r="S213" i="31" s="1"/>
  <c r="R214" i="31"/>
  <c r="R215" i="31"/>
  <c r="S215" i="31" s="1"/>
  <c r="R216" i="31"/>
  <c r="S216" i="31" s="1"/>
  <c r="R217" i="31"/>
  <c r="S217" i="31" s="1"/>
  <c r="R218" i="31"/>
  <c r="R219" i="31"/>
  <c r="S219" i="31" s="1"/>
  <c r="R220" i="31"/>
  <c r="R221" i="31"/>
  <c r="S221" i="31" s="1"/>
  <c r="R222" i="31"/>
  <c r="S222" i="31" s="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S234" i="31" s="1"/>
  <c r="R235" i="31"/>
  <c r="S235" i="31" s="1"/>
  <c r="R236" i="31"/>
  <c r="R237" i="31"/>
  <c r="S237" i="31" s="1"/>
  <c r="R238" i="31"/>
  <c r="S238" i="31" s="1"/>
  <c r="R239" i="31"/>
  <c r="S239" i="31" s="1"/>
  <c r="R240" i="31"/>
  <c r="S240" i="31" s="1"/>
  <c r="R241" i="31"/>
  <c r="S241" i="31" s="1"/>
  <c r="R242" i="31"/>
  <c r="R243" i="31"/>
  <c r="S243" i="31" s="1"/>
  <c r="R244" i="31"/>
  <c r="S244" i="31" s="1"/>
  <c r="R245" i="31"/>
  <c r="S245" i="31" s="1"/>
  <c r="R246" i="31"/>
  <c r="R247" i="31"/>
  <c r="S247" i="31" s="1"/>
  <c r="R248" i="3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R323" i="31"/>
  <c r="S323" i="31" s="1"/>
  <c r="R324" i="31"/>
  <c r="S324" i="31" s="1"/>
  <c r="R325" i="31"/>
  <c r="S325" i="31" s="1"/>
  <c r="R326" i="31"/>
  <c r="S326" i="31" s="1"/>
  <c r="R327" i="31"/>
  <c r="S327" i="31" s="1"/>
  <c r="R328" i="3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S425" i="31" s="1"/>
  <c r="R426" i="31"/>
  <c r="S426" i="31" s="1"/>
  <c r="R427" i="31"/>
  <c r="S427" i="31" s="1"/>
  <c r="R428" i="31"/>
  <c r="R429" i="31"/>
  <c r="S429" i="31" s="1"/>
  <c r="R430" i="31"/>
  <c r="R431" i="31"/>
  <c r="S431" i="31" s="1"/>
  <c r="R432" i="31"/>
  <c r="S432" i="31" s="1"/>
  <c r="R433" i="31"/>
  <c r="S433" i="31" s="1"/>
  <c r="R434" i="31"/>
  <c r="S434" i="31" s="1"/>
  <c r="R435" i="31"/>
  <c r="S435" i="31" s="1"/>
  <c r="R436" i="31"/>
  <c r="R437" i="31"/>
  <c r="S437" i="31" s="1"/>
  <c r="R438" i="31"/>
  <c r="R439" i="31"/>
  <c r="S439" i="31" s="1"/>
  <c r="R440" i="31"/>
  <c r="S440" i="31" s="1"/>
  <c r="R441" i="31"/>
  <c r="S441" i="31" s="1"/>
  <c r="R442" i="31"/>
  <c r="R443" i="31"/>
  <c r="S443" i="31" s="1"/>
  <c r="R444" i="31"/>
  <c r="S444" i="31" s="1"/>
  <c r="R445" i="31"/>
  <c r="S445" i="31" s="1"/>
  <c r="R446" i="31"/>
  <c r="S446" i="31" s="1"/>
  <c r="R447" i="31"/>
  <c r="S447" i="31" s="1"/>
  <c r="R448" i="3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R471" i="31"/>
  <c r="S471" i="31" s="1"/>
  <c r="R472" i="31"/>
  <c r="R473" i="31"/>
  <c r="S473" i="31" s="1"/>
  <c r="R474" i="31"/>
  <c r="S474" i="31" s="1"/>
  <c r="R475" i="31"/>
  <c r="S475" i="31" s="1"/>
  <c r="R476" i="31"/>
  <c r="S476" i="31" s="1"/>
  <c r="R477" i="31"/>
  <c r="S477" i="31" s="1"/>
  <c r="R478" i="31"/>
  <c r="S478" i="31" s="1"/>
  <c r="R479" i="31"/>
  <c r="S479" i="31" s="1"/>
  <c r="R480" i="31"/>
  <c r="S480" i="31" s="1"/>
  <c r="R481" i="31"/>
  <c r="S481" i="31" s="1"/>
  <c r="R482" i="31"/>
  <c r="R483" i="31"/>
  <c r="S483" i="31" s="1"/>
  <c r="R484" i="31"/>
  <c r="S484" i="31" s="1"/>
  <c r="R485" i="31"/>
  <c r="S485" i="31" s="1"/>
  <c r="R486" i="31"/>
  <c r="R487" i="31"/>
  <c r="S487" i="31" s="1"/>
  <c r="R488" i="31"/>
  <c r="R489" i="31"/>
  <c r="S489" i="31" s="1"/>
  <c r="R490" i="31"/>
  <c r="S490" i="31" s="1"/>
  <c r="R491" i="31"/>
  <c r="S491" i="31" s="1"/>
  <c r="R492" i="31"/>
  <c r="S492" i="31" s="1"/>
  <c r="R493" i="31"/>
  <c r="S493" i="31" s="1"/>
  <c r="R494" i="31"/>
  <c r="S494" i="31" s="1"/>
  <c r="R495" i="31"/>
  <c r="S495" i="31" s="1"/>
  <c r="R496" i="31"/>
  <c r="S496" i="31" s="1"/>
  <c r="R497" i="31"/>
  <c r="S497" i="31" s="1"/>
  <c r="R498" i="3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R515" i="31"/>
  <c r="S515" i="31" s="1"/>
  <c r="R516" i="3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L13" i="3" s="1"/>
  <c r="BO14" i="3"/>
  <c r="BO15" i="3"/>
  <c r="BO16" i="3"/>
  <c r="BO17" i="3"/>
  <c r="BN13" i="3"/>
  <c r="BN14" i="3"/>
  <c r="BN15" i="3"/>
  <c r="BN16" i="3"/>
  <c r="BL16" i="3" s="1"/>
  <c r="BN17" i="3"/>
  <c r="BP13" i="3"/>
  <c r="BP5" i="3" s="1"/>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394" i="31"/>
  <c r="S392" i="31"/>
  <c r="S386" i="31"/>
  <c r="S380" i="31"/>
  <c r="S368" i="31"/>
  <c r="S362" i="31"/>
  <c r="S356" i="31"/>
  <c r="S354" i="31"/>
  <c r="S330" i="31"/>
  <c r="S328" i="31"/>
  <c r="S322" i="31"/>
  <c r="S320" i="31"/>
  <c r="S308" i="31"/>
  <c r="S302" i="31"/>
  <c r="S296" i="31"/>
  <c r="S294" i="31"/>
  <c r="S270" i="31"/>
  <c r="S268" i="31"/>
  <c r="S262" i="31"/>
  <c r="S256" i="31"/>
  <c r="S248" i="31"/>
  <c r="S246" i="31"/>
  <c r="S242" i="31"/>
  <c r="S236" i="31"/>
  <c r="S230" i="31"/>
  <c r="S226" i="31"/>
  <c r="S428" i="31"/>
  <c r="S220" i="31"/>
  <c r="S218" i="31"/>
  <c r="S214" i="31"/>
  <c r="S212" i="31"/>
  <c r="S204" i="31"/>
  <c r="S202" i="31"/>
  <c r="S198" i="31"/>
  <c r="S192" i="31"/>
  <c r="S186" i="31"/>
  <c r="S182" i="31"/>
  <c r="S176" i="31"/>
  <c r="S170" i="31"/>
  <c r="S166" i="31"/>
  <c r="S164" i="31"/>
  <c r="S154" i="31"/>
  <c r="S150" i="31"/>
  <c r="S148" i="31"/>
  <c r="S138" i="31"/>
  <c r="S134" i="31"/>
  <c r="S488" i="31"/>
  <c r="S486" i="31"/>
  <c r="S482" i="31"/>
  <c r="S472" i="31"/>
  <c r="S470" i="31"/>
  <c r="S442" i="31"/>
  <c r="S438" i="31"/>
  <c r="S436" i="31"/>
  <c r="S430" i="31"/>
  <c r="S112" i="31"/>
  <c r="S498" i="31"/>
  <c r="S52" i="31"/>
  <c r="S50" i="31"/>
  <c r="S46" i="31"/>
  <c r="S36" i="31"/>
  <c r="S34" i="31"/>
  <c r="S71" i="31"/>
  <c r="S68" i="31"/>
  <c r="S60" i="31"/>
  <c r="S55" i="31"/>
  <c r="S24" i="31"/>
  <c r="S95" i="31"/>
  <c r="S92" i="31"/>
  <c r="S79" i="31"/>
  <c r="S104" i="31"/>
  <c r="S448" i="31"/>
  <c r="S510"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6" i="31"/>
  <c r="S518" i="31"/>
  <c r="S522"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F12" i="34"/>
  <c r="S12" i="34" s="1"/>
  <c r="Q11" i="34"/>
  <c r="Z11" i="34" s="1"/>
  <c r="Q10" i="34"/>
  <c r="Z10" i="34"/>
  <c r="F10" i="34"/>
  <c r="AA10" i="34" s="1"/>
  <c r="Q9" i="34"/>
  <c r="Z9" i="34" s="1"/>
  <c r="J9" i="34"/>
  <c r="AC9" i="34" s="1"/>
  <c r="H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J44" i="21" s="1"/>
  <c r="AC44" i="21" s="1"/>
  <c r="B98" i="21"/>
  <c r="H31" i="21"/>
  <c r="B96" i="21"/>
  <c r="B94" i="21"/>
  <c r="J29" i="21" s="1"/>
  <c r="AC29" i="21" s="1"/>
  <c r="B92" i="21"/>
  <c r="B90" i="21"/>
  <c r="J27" i="21" s="1"/>
  <c r="W27" i="21"/>
  <c r="B74" i="2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s="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S40" i="33"/>
  <c r="W33" i="33"/>
  <c r="H39" i="37"/>
  <c r="AB39" i="37" s="1"/>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J28" i="34"/>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30" i="21"/>
  <c r="W31" i="34"/>
  <c r="AB46" i="34"/>
  <c r="S45" i="33"/>
  <c r="AC28" i="21"/>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AZ522" i="3" s="1"/>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BA508" i="3"/>
  <c r="BA506" i="3"/>
  <c r="BA504" i="3"/>
  <c r="AZ504" i="3" s="1"/>
  <c r="BA502" i="3"/>
  <c r="BA500" i="3"/>
  <c r="BA498" i="3"/>
  <c r="AZ498" i="3" s="1"/>
  <c r="BA496" i="3"/>
  <c r="AZ496" i="3" s="1"/>
  <c r="BA494" i="3"/>
  <c r="BA587" i="3"/>
  <c r="BA583" i="3"/>
  <c r="BA581" i="3"/>
  <c r="BA579" i="3"/>
  <c r="BA577" i="3"/>
  <c r="BA575" i="3"/>
  <c r="BA573" i="3"/>
  <c r="BA571" i="3"/>
  <c r="BA569" i="3"/>
  <c r="BA567" i="3"/>
  <c r="BA565" i="3"/>
  <c r="BA563" i="3"/>
  <c r="AZ563" i="3" s="1"/>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U14" i="40"/>
  <c r="W23" i="35"/>
  <c r="U39" i="37"/>
  <c r="U26" i="37"/>
  <c r="W47" i="34"/>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514"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AZ180" i="3"/>
  <c r="G181" i="3"/>
  <c r="BA183" i="3"/>
  <c r="BL184" i="3"/>
  <c r="G185" i="3"/>
  <c r="BA187" i="3"/>
  <c r="BL188" i="3"/>
  <c r="AZ188" i="3" s="1"/>
  <c r="G189" i="3"/>
  <c r="BA191" i="3"/>
  <c r="BL192" i="3"/>
  <c r="G193" i="3"/>
  <c r="BA195" i="3"/>
  <c r="AZ195" i="3" s="1"/>
  <c r="BL196" i="3"/>
  <c r="G197" i="3"/>
  <c r="BA199" i="3"/>
  <c r="BL200" i="3"/>
  <c r="G201" i="3"/>
  <c r="BA203" i="3"/>
  <c r="BL204" i="3"/>
  <c r="AZ168" i="3"/>
  <c r="AZ97"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94" i="3"/>
  <c r="AZ198" i="3"/>
  <c r="AZ500"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AZ327" i="3" s="1"/>
  <c r="G328" i="3"/>
  <c r="BA330" i="3"/>
  <c r="BL331" i="3"/>
  <c r="AZ331" i="3" s="1"/>
  <c r="G332" i="3"/>
  <c r="BA334" i="3"/>
  <c r="BL335" i="3"/>
  <c r="G336" i="3"/>
  <c r="BA338" i="3"/>
  <c r="AZ338" i="3" s="1"/>
  <c r="BL339" i="3"/>
  <c r="G340" i="3"/>
  <c r="BL343" i="3"/>
  <c r="G344" i="3"/>
  <c r="G348" i="3"/>
  <c r="G355" i="3"/>
  <c r="AZ214" i="3"/>
  <c r="G342" i="3"/>
  <c r="BL345" i="3"/>
  <c r="G346" i="3"/>
  <c r="BL349" i="3"/>
  <c r="AZ349" i="3" s="1"/>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AZ269" i="3"/>
  <c r="BA379" i="3"/>
  <c r="AZ379" i="3" s="1"/>
  <c r="BL380" i="3"/>
  <c r="AZ380" i="3" s="1"/>
  <c r="G381" i="3"/>
  <c r="BA383" i="3"/>
  <c r="AZ383" i="3" s="1"/>
  <c r="BL384" i="3"/>
  <c r="G385" i="3"/>
  <c r="BA387" i="3"/>
  <c r="AZ387" i="3" s="1"/>
  <c r="BL388" i="3"/>
  <c r="AZ388" i="3" s="1"/>
  <c r="G389" i="3"/>
  <c r="BA391" i="3"/>
  <c r="AZ391" i="3" s="1"/>
  <c r="BL392" i="3"/>
  <c r="G393" i="3"/>
  <c r="BO5" i="3"/>
  <c r="BM5" i="3"/>
  <c r="F29" i="6" s="1"/>
  <c r="BJ5" i="3"/>
  <c r="BH5" i="3"/>
  <c r="BF5" i="3"/>
  <c r="BD5" i="3"/>
  <c r="AZ506" i="3"/>
  <c r="G548" i="3"/>
  <c r="G538" i="3"/>
  <c r="G520" i="3"/>
  <c r="G502" i="3"/>
  <c r="BN5" i="3"/>
  <c r="BI5" i="3"/>
  <c r="BE5" i="3"/>
  <c r="G17" i="3"/>
  <c r="BA17" i="3"/>
  <c r="BT5" i="3"/>
  <c r="AZ356" i="3"/>
  <c r="AZ368" i="3"/>
  <c r="BA15" i="3"/>
  <c r="BB5" i="3"/>
  <c r="AZ392" i="3"/>
  <c r="AZ499" i="3"/>
  <c r="G509" i="3"/>
  <c r="BL493" i="3"/>
  <c r="AZ493" i="3" s="1"/>
  <c r="U36" i="40"/>
  <c r="F83" i="43"/>
  <c r="H85" i="43" s="1"/>
  <c r="F50" i="43"/>
  <c r="H54" i="43" s="1"/>
  <c r="F72" i="43"/>
  <c r="H75" i="43" s="1"/>
  <c r="U17" i="39"/>
  <c r="S14" i="35"/>
  <c r="U43" i="21"/>
  <c r="U35" i="21"/>
  <c r="AC35" i="21"/>
  <c r="G10" i="1"/>
  <c r="AC11" i="39"/>
  <c r="AZ501" i="3"/>
  <c r="W37" i="37"/>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27" i="3"/>
  <c r="AZ248" i="3"/>
  <c r="AZ259" i="3"/>
  <c r="AZ271" i="3"/>
  <c r="AZ133" i="3"/>
  <c r="AZ69" i="3"/>
  <c r="AZ72" i="3"/>
  <c r="AZ86"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W27" i="34"/>
  <c r="AC27" i="34"/>
  <c r="AB34" i="36"/>
  <c r="U34" i="36"/>
  <c r="AB33" i="36"/>
  <c r="U33" i="36"/>
  <c r="AC12" i="39"/>
  <c r="W12" i="39"/>
  <c r="AC39" i="40"/>
  <c r="W39" i="40"/>
  <c r="AZ586" i="3"/>
  <c r="W12" i="33"/>
  <c r="AC12" i="33"/>
  <c r="AA32" i="36"/>
  <c r="S32" i="36"/>
  <c r="BL14" i="3"/>
  <c r="AC13" i="34"/>
  <c r="AA47" i="34"/>
  <c r="S19" i="39"/>
  <c r="F12" i="33"/>
  <c r="H12" i="39"/>
  <c r="AB12" i="39" s="1"/>
  <c r="F39" i="40"/>
  <c r="BA14" i="3"/>
  <c r="AZ250" i="3"/>
  <c r="AZ286" i="3"/>
  <c r="AZ157" i="3"/>
  <c r="B12" i="1"/>
  <c r="E12" i="1" s="1"/>
  <c r="B10" i="1"/>
  <c r="E10" i="1" s="1"/>
  <c r="K12" i="1"/>
  <c r="M12" i="1" s="1"/>
  <c r="S13" i="1"/>
  <c r="AR13" i="1" s="1"/>
  <c r="R13" i="1"/>
  <c r="J51" i="67"/>
  <c r="C42" i="1"/>
  <c r="C24" i="12" s="1"/>
  <c r="AB37" i="40"/>
  <c r="S35" i="40"/>
  <c r="U35" i="40"/>
  <c r="AC36" i="40"/>
  <c r="W38" i="40"/>
  <c r="AA32" i="40"/>
  <c r="S23" i="40"/>
  <c r="AC17" i="40"/>
  <c r="AC15" i="40"/>
  <c r="S30" i="40"/>
  <c r="AA19" i="40"/>
  <c r="S28" i="40"/>
  <c r="U21" i="40"/>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AA12" i="39"/>
  <c r="S9" i="39"/>
  <c r="U14" i="39"/>
  <c r="AC13" i="39"/>
  <c r="S23" i="36"/>
  <c r="U13" i="36"/>
  <c r="U26" i="36"/>
  <c r="S33" i="36"/>
  <c r="AA26" i="36"/>
  <c r="AA34" i="36"/>
  <c r="AC26"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F101" i="33"/>
  <c r="G101" i="33" s="1"/>
  <c r="H101" i="33" s="1"/>
  <c r="I101" i="33" s="1"/>
  <c r="J101" i="33" s="1"/>
  <c r="K101" i="33" s="1"/>
  <c r="L101" i="33" s="1"/>
  <c r="M101" i="33" s="1"/>
  <c r="J32" i="33"/>
  <c r="W43" i="33"/>
  <c r="S43" i="33"/>
  <c r="F91" i="33"/>
  <c r="H27" i="33"/>
  <c r="F87" i="33"/>
  <c r="G87" i="33" s="1"/>
  <c r="H87" i="33" s="1"/>
  <c r="I87" i="33" s="1"/>
  <c r="J87" i="33" s="1"/>
  <c r="K87" i="33" s="1"/>
  <c r="L87" i="33" s="1"/>
  <c r="M87" i="33" s="1"/>
  <c r="H25" i="33"/>
  <c r="U25" i="33" s="1"/>
  <c r="F25" i="33"/>
  <c r="J23" i="33"/>
  <c r="AC23" i="33" s="1"/>
  <c r="F85" i="33"/>
  <c r="G85" i="33" s="1"/>
  <c r="H23" i="33"/>
  <c r="AB23" i="33" s="1"/>
  <c r="F81" i="33"/>
  <c r="F19" i="33"/>
  <c r="S19" i="33" s="1"/>
  <c r="W19" i="33"/>
  <c r="J17" i="33"/>
  <c r="F79" i="33"/>
  <c r="G79" i="33" s="1"/>
  <c r="S15" i="33"/>
  <c r="W15" i="33"/>
  <c r="U9" i="33"/>
  <c r="J10" i="33"/>
  <c r="W10" i="33" s="1"/>
  <c r="H10" i="33"/>
  <c r="U10" i="33" s="1"/>
  <c r="AB14" i="33"/>
  <c r="W43" i="21"/>
  <c r="W36" i="21"/>
  <c r="W41" i="21"/>
  <c r="AB39" i="21"/>
  <c r="AA43" i="21"/>
  <c r="S39" i="21"/>
  <c r="AA38" i="21"/>
  <c r="AA36" i="21"/>
  <c r="AC40" i="21"/>
  <c r="J15" i="21"/>
  <c r="W15" i="21"/>
  <c r="F77" i="21"/>
  <c r="G77" i="21" s="1"/>
  <c r="F23" i="21"/>
  <c r="S23" i="21"/>
  <c r="E85" i="21"/>
  <c r="F85" i="21" s="1"/>
  <c r="G85" i="21" s="1"/>
  <c r="AA14" i="21"/>
  <c r="D120" i="9"/>
  <c r="D121" i="9" s="1"/>
  <c r="D7" i="52" s="1"/>
  <c r="F34" i="67"/>
  <c r="F62" i="67" s="1"/>
  <c r="M20" i="67"/>
  <c r="F34" i="15"/>
  <c r="F62" i="15" s="1"/>
  <c r="BL17" i="3"/>
  <c r="AZ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K11" i="1"/>
  <c r="M11" i="1" s="1"/>
  <c r="O11" i="1" s="1"/>
  <c r="B9" i="1"/>
  <c r="E9" i="1" s="1"/>
  <c r="K7" i="1"/>
  <c r="M7" i="1" s="1"/>
  <c r="O7" i="1" s="1"/>
  <c r="P7" i="1" s="1"/>
  <c r="G1" i="69"/>
  <c r="G1" i="67"/>
  <c r="W23" i="40"/>
  <c r="U32" i="40"/>
  <c r="S37" i="40"/>
  <c r="AB28" i="40"/>
  <c r="W28" i="40"/>
  <c r="W34" i="40"/>
  <c r="W19" i="40"/>
  <c r="W27" i="40"/>
  <c r="S36" i="40"/>
  <c r="W37" i="40"/>
  <c r="AC14" i="40"/>
  <c r="S13" i="40"/>
  <c r="S33" i="40"/>
  <c r="AA15" i="40"/>
  <c r="U11" i="40"/>
  <c r="S31" i="40"/>
  <c r="AB13"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U25" i="36"/>
  <c r="AB28" i="36"/>
  <c r="AA13" i="36"/>
  <c r="W9" i="36"/>
  <c r="W22" i="36"/>
  <c r="W23" i="36"/>
  <c r="AC25" i="35"/>
  <c r="U25" i="35"/>
  <c r="S24" i="35"/>
  <c r="U24" i="35"/>
  <c r="S35" i="35"/>
  <c r="W35" i="35"/>
  <c r="AA16" i="35"/>
  <c r="AA35" i="37"/>
  <c r="S27" i="37"/>
  <c r="S28" i="37"/>
  <c r="U36" i="37"/>
  <c r="S40" i="37"/>
  <c r="U38" i="37"/>
  <c r="AB37" i="37"/>
  <c r="AC34" i="37"/>
  <c r="AB35" i="37"/>
  <c r="AA31" i="37"/>
  <c r="AA29" i="37"/>
  <c r="U8" i="37"/>
  <c r="AA40" i="34"/>
  <c r="AB40" i="34"/>
  <c r="U19" i="34"/>
  <c r="W19" i="34"/>
  <c r="AB33" i="34"/>
  <c r="AC45"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U15" i="2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4" i="43"/>
  <c r="B58" i="43"/>
  <c r="B65" i="43"/>
  <c r="B69" i="43"/>
  <c r="D23" i="15"/>
  <c r="D22" i="15"/>
  <c r="E4" i="4"/>
  <c r="B5" i="62" s="1"/>
  <c r="B73" i="72" s="1"/>
  <c r="C4" i="4"/>
  <c r="AA39" i="40"/>
  <c r="S39" i="40"/>
  <c r="S12" i="33"/>
  <c r="AA12" i="33"/>
  <c r="J32" i="39"/>
  <c r="AC32" i="39" s="1"/>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AB25" i="33"/>
  <c r="S25" i="33"/>
  <c r="AA25" i="33"/>
  <c r="J25" i="33"/>
  <c r="AC25" i="33" s="1"/>
  <c r="U23" i="33"/>
  <c r="F23" i="33"/>
  <c r="AA19" i="33"/>
  <c r="H19" i="33"/>
  <c r="AB19" i="33" s="1"/>
  <c r="G81" i="33"/>
  <c r="H17" i="33"/>
  <c r="U17" i="33" s="1"/>
  <c r="F17" i="33"/>
  <c r="S17" i="33" s="1"/>
  <c r="W17" i="33"/>
  <c r="AC17" i="33"/>
  <c r="AA23" i="21"/>
  <c r="J23" i="21"/>
  <c r="AC23" i="21" s="1"/>
  <c r="H23" i="21"/>
  <c r="S13" i="21"/>
  <c r="D6" i="52"/>
  <c r="AP7" i="1"/>
  <c r="AB9" i="21"/>
  <c r="U9" i="21"/>
  <c r="W9" i="21"/>
  <c r="AC9" i="21"/>
  <c r="U32" i="39"/>
  <c r="W23" i="37"/>
  <c r="AC23" i="37"/>
  <c r="J11" i="37"/>
  <c r="AC11" i="37" s="1"/>
  <c r="J11" i="34"/>
  <c r="W11" i="34" s="1"/>
  <c r="W27" i="33"/>
  <c r="AC27" i="33"/>
  <c r="W25" i="33"/>
  <c r="U19" i="33"/>
  <c r="AA17" i="33"/>
  <c r="U23" i="21"/>
  <c r="AB23" i="21"/>
  <c r="H109" i="9"/>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7" i="76"/>
  <c r="L47" i="67"/>
  <c r="F5" i="73"/>
  <c r="F42" i="67"/>
  <c r="E11" i="76"/>
  <c r="F9" i="67"/>
  <c r="E7" i="76"/>
  <c r="B12" i="76"/>
  <c r="B9" i="76"/>
  <c r="F3" i="73"/>
  <c r="E9" i="76"/>
  <c r="B13" i="76"/>
  <c r="E10" i="76"/>
  <c r="F16" i="67"/>
  <c r="M8" i="67"/>
  <c r="M24" i="67"/>
  <c r="B8" i="76"/>
  <c r="M6" i="67"/>
  <c r="M23" i="67"/>
  <c r="F7" i="67"/>
  <c r="F20" i="31"/>
  <c r="L48" i="67"/>
  <c r="B11" i="76"/>
  <c r="F26" i="67"/>
  <c r="E12" i="76"/>
  <c r="E13" i="76"/>
  <c r="F6" i="73"/>
  <c r="E8" i="76"/>
  <c r="E2" i="68"/>
  <c r="AO13" i="1"/>
  <c r="F7" i="73"/>
  <c r="F4" i="73"/>
  <c r="D35" i="9"/>
  <c r="E2" i="69"/>
  <c r="M29" i="67"/>
  <c r="B10" i="76"/>
  <c r="F38" i="67"/>
  <c r="M26" i="67"/>
  <c r="D34" i="9"/>
  <c r="F43" i="67"/>
  <c r="D6" i="73"/>
  <c r="R25" i="31" l="1"/>
  <c r="S25" i="31" s="1"/>
  <c r="R27" i="31"/>
  <c r="S27" i="31" s="1"/>
  <c r="R26" i="31"/>
  <c r="S26" i="31" s="1"/>
  <c r="C18" i="9"/>
  <c r="D18" i="9" s="1"/>
  <c r="S36" i="33"/>
  <c r="AC11" i="33"/>
  <c r="D53" i="43"/>
  <c r="D51" i="43"/>
  <c r="D55" i="43"/>
  <c r="B41" i="1"/>
  <c r="D93" i="9"/>
  <c r="C21" i="68"/>
  <c r="C40" i="68"/>
  <c r="BK5" i="3"/>
  <c r="BG5" i="3"/>
  <c r="BS5" i="3"/>
  <c r="BR5" i="3"/>
  <c r="AZ14" i="3"/>
  <c r="BC5" i="3"/>
  <c r="G1" i="15"/>
  <c r="B6" i="1"/>
  <c r="E6" i="1" s="1"/>
  <c r="G29" i="6"/>
  <c r="BA13" i="3"/>
  <c r="B79" i="43"/>
  <c r="B62" i="43"/>
  <c r="C15" i="39"/>
  <c r="B51" i="43"/>
  <c r="C29" i="39"/>
  <c r="S29" i="35"/>
  <c r="AA29" i="35"/>
  <c r="AA40" i="21"/>
  <c r="S40" i="21"/>
  <c r="AB35" i="33"/>
  <c r="U35" i="33"/>
  <c r="AC39" i="33"/>
  <c r="W39" i="33"/>
  <c r="AB36" i="33"/>
  <c r="W32" i="39"/>
  <c r="U32" i="21"/>
  <c r="S32" i="21"/>
  <c r="AB45" i="21"/>
  <c r="U41" i="33"/>
  <c r="S21" i="39"/>
  <c r="F54" i="9"/>
  <c r="F32" i="15"/>
  <c r="F60" i="15" s="1"/>
  <c r="F52" i="9"/>
  <c r="F30" i="68"/>
  <c r="F48" i="68" s="1"/>
  <c r="AC37" i="33"/>
  <c r="AA31" i="34"/>
  <c r="W36" i="37"/>
  <c r="AC20" i="36"/>
  <c r="S20" i="36"/>
  <c r="AA39" i="39"/>
  <c r="U15" i="40"/>
  <c r="AB31" i="40"/>
  <c r="S46" i="33"/>
  <c r="S39" i="33"/>
  <c r="AC39" i="34"/>
  <c r="AB17" i="37"/>
  <c r="S32" i="37"/>
  <c r="AA22" i="36"/>
  <c r="U12" i="39"/>
  <c r="AA27" i="40"/>
  <c r="AB27" i="40"/>
  <c r="S17" i="40"/>
  <c r="AA34" i="33"/>
  <c r="U30" i="33"/>
  <c r="AC5" i="3"/>
  <c r="AZ389" i="3"/>
  <c r="AZ313" i="3"/>
  <c r="AZ376" i="3"/>
  <c r="AZ309" i="3"/>
  <c r="W35" i="40"/>
  <c r="S14" i="40"/>
  <c r="AA25" i="21"/>
  <c r="AZ535" i="3"/>
  <c r="AZ557" i="3"/>
  <c r="AZ503" i="3"/>
  <c r="AZ513" i="3"/>
  <c r="AZ575" i="3"/>
  <c r="U33" i="40"/>
  <c r="AB33" i="40"/>
  <c r="W23" i="21"/>
  <c r="S37" i="21"/>
  <c r="D68" i="9"/>
  <c r="F30" i="69"/>
  <c r="F48" i="69" s="1"/>
  <c r="F31" i="12"/>
  <c r="AA30" i="21"/>
  <c r="S11" i="33"/>
  <c r="U19" i="37"/>
  <c r="W32" i="37"/>
  <c r="AB20" i="35"/>
  <c r="S15" i="39"/>
  <c r="U37" i="39"/>
  <c r="AC34" i="33"/>
  <c r="W28" i="37"/>
  <c r="U12" i="40"/>
  <c r="AZ345" i="3"/>
  <c r="AZ334" i="3"/>
  <c r="AZ347" i="3"/>
  <c r="AA13" i="33"/>
  <c r="U32" i="33"/>
  <c r="AZ508" i="3"/>
  <c r="AZ540" i="3"/>
  <c r="AZ502" i="3"/>
  <c r="S14" i="34"/>
  <c r="AA14" i="34"/>
  <c r="W31" i="33"/>
  <c r="AC31" i="33"/>
  <c r="S28" i="34"/>
  <c r="AC8" i="34"/>
  <c r="W8" i="34"/>
  <c r="AB19" i="40"/>
  <c r="AZ390" i="3"/>
  <c r="AZ351" i="3"/>
  <c r="AZ306" i="3"/>
  <c r="AC36" i="34"/>
  <c r="AZ527" i="3"/>
  <c r="AZ571" i="3"/>
  <c r="AZ579" i="3"/>
  <c r="AZ510" i="3"/>
  <c r="AZ552" i="3"/>
  <c r="AZ584" i="3"/>
  <c r="S14" i="37"/>
  <c r="AA14" i="37"/>
  <c r="U45" i="33"/>
  <c r="AB45" i="33"/>
  <c r="AA44" i="34"/>
  <c r="S44" i="34"/>
  <c r="W28" i="34"/>
  <c r="AC28" i="34"/>
  <c r="U17" i="34"/>
  <c r="AB17" i="34"/>
  <c r="BL587" i="3"/>
  <c r="AZ587" i="3" s="1"/>
  <c r="BA585" i="3"/>
  <c r="B97" i="43"/>
  <c r="B75" i="43"/>
  <c r="H25" i="37"/>
  <c r="F25" i="37"/>
  <c r="AZ531" i="3"/>
  <c r="AZ583" i="3"/>
  <c r="AZ568" i="3"/>
  <c r="AZ576" i="3"/>
  <c r="G587" i="3"/>
  <c r="H12" i="34"/>
  <c r="F12" i="35"/>
  <c r="J12" i="35"/>
  <c r="F44" i="39"/>
  <c r="BL585" i="3"/>
  <c r="AZ458" i="3"/>
  <c r="AZ462" i="3"/>
  <c r="AZ360" i="3"/>
  <c r="AZ539" i="3"/>
  <c r="AZ529" i="3"/>
  <c r="AZ537" i="3"/>
  <c r="AZ518" i="3"/>
  <c r="AZ526" i="3"/>
  <c r="AZ546" i="3"/>
  <c r="AZ564" i="3"/>
  <c r="AZ580" i="3"/>
  <c r="S11" i="36"/>
  <c r="BL550" i="3"/>
  <c r="AZ419" i="3"/>
  <c r="G398" i="3"/>
  <c r="BL400" i="3"/>
  <c r="AZ400" i="3" s="1"/>
  <c r="BL413" i="3"/>
  <c r="BL417" i="3"/>
  <c r="AZ417" i="3" s="1"/>
  <c r="BL418" i="3"/>
  <c r="BL420" i="3"/>
  <c r="G422" i="3"/>
  <c r="BL424" i="3"/>
  <c r="G426" i="3"/>
  <c r="BL428" i="3"/>
  <c r="AZ428" i="3" s="1"/>
  <c r="BL429" i="3"/>
  <c r="BL432" i="3"/>
  <c r="BL435" i="3"/>
  <c r="BL436" i="3"/>
  <c r="BA439" i="3"/>
  <c r="BA440" i="3"/>
  <c r="AZ440" i="3" s="1"/>
  <c r="BA442" i="3"/>
  <c r="BA445" i="3"/>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220" i="3"/>
  <c r="BA221" i="3"/>
  <c r="BL224" i="3"/>
  <c r="AZ402" i="3"/>
  <c r="BA408" i="3"/>
  <c r="AZ408" i="3" s="1"/>
  <c r="BA409" i="3"/>
  <c r="AZ409" i="3" s="1"/>
  <c r="BA411" i="3"/>
  <c r="AZ411" i="3" s="1"/>
  <c r="AZ413" i="3"/>
  <c r="BL414" i="3"/>
  <c r="BL415" i="3"/>
  <c r="AZ429" i="3"/>
  <c r="AZ432" i="3"/>
  <c r="AZ443" i="3"/>
  <c r="AZ487" i="3"/>
  <c r="BA218" i="3"/>
  <c r="BL218" i="3"/>
  <c r="BA228" i="3"/>
  <c r="AZ228" i="3" s="1"/>
  <c r="G574"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9" i="3"/>
  <c r="BL476" i="3"/>
  <c r="AZ476" i="3" s="1"/>
  <c r="BL477" i="3"/>
  <c r="BL478" i="3"/>
  <c r="BL480" i="3"/>
  <c r="AZ480" i="3" s="1"/>
  <c r="BA483" i="3"/>
  <c r="BL483" i="3"/>
  <c r="AZ483" i="3" s="1"/>
  <c r="BA486" i="3"/>
  <c r="BL489" i="3"/>
  <c r="BL491" i="3"/>
  <c r="BL492" i="3"/>
  <c r="BA315" i="3"/>
  <c r="AZ315" i="3" s="1"/>
  <c r="BA333" i="3"/>
  <c r="BL346" i="3"/>
  <c r="AZ346" i="3" s="1"/>
  <c r="BA384" i="3"/>
  <c r="AZ384" i="3" s="1"/>
  <c r="BA210" i="3"/>
  <c r="AZ210" i="3" s="1"/>
  <c r="BL210" i="3"/>
  <c r="BA551" i="3"/>
  <c r="AZ551" i="3" s="1"/>
  <c r="BA550" i="3"/>
  <c r="AZ550" i="3" s="1"/>
  <c r="BL548" i="3"/>
  <c r="AZ548" i="3" s="1"/>
  <c r="BA401" i="3"/>
  <c r="AZ401" i="3" s="1"/>
  <c r="BA403" i="3"/>
  <c r="AZ403" i="3" s="1"/>
  <c r="BA404" i="3"/>
  <c r="AZ404" i="3" s="1"/>
  <c r="BA405" i="3"/>
  <c r="BL410" i="3"/>
  <c r="G412" i="3"/>
  <c r="G418" i="3"/>
  <c r="BA422" i="3"/>
  <c r="AZ422" i="3" s="1"/>
  <c r="G429" i="3"/>
  <c r="BL431" i="3"/>
  <c r="G433" i="3"/>
  <c r="BL434" i="3"/>
  <c r="G436" i="3"/>
  <c r="BL438" i="3"/>
  <c r="BL439" i="3"/>
  <c r="BA441" i="3"/>
  <c r="BL445" i="3"/>
  <c r="BL446" i="3"/>
  <c r="BL449" i="3"/>
  <c r="BL450" i="3"/>
  <c r="BL452" i="3"/>
  <c r="G455" i="3"/>
  <c r="BL456" i="3"/>
  <c r="BA464" i="3"/>
  <c r="BL467" i="3"/>
  <c r="BL468" i="3"/>
  <c r="BL470" i="3"/>
  <c r="G472" i="3"/>
  <c r="G473" i="3"/>
  <c r="BL473" i="3"/>
  <c r="AZ473" i="3" s="1"/>
  <c r="BL474"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A397" i="3"/>
  <c r="AZ397" i="3" s="1"/>
  <c r="BL397" i="3"/>
  <c r="BA209" i="3"/>
  <c r="BA216" i="3"/>
  <c r="AZ216" i="3" s="1"/>
  <c r="BL217" i="3"/>
  <c r="AZ217" i="3" s="1"/>
  <c r="BA223" i="3"/>
  <c r="AZ223"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AZ282" i="3" s="1"/>
  <c r="BL282" i="3"/>
  <c r="BA284" i="3"/>
  <c r="BL290" i="3"/>
  <c r="BL291" i="3"/>
  <c r="AZ291" i="3" s="1"/>
  <c r="BL293" i="3"/>
  <c r="BL294" i="3"/>
  <c r="BA297" i="3"/>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BL167" i="3"/>
  <c r="AZ167" i="3" s="1"/>
  <c r="G172" i="3"/>
  <c r="BA173" i="3"/>
  <c r="AZ173" i="3" s="1"/>
  <c r="BA174" i="3"/>
  <c r="BL179" i="3"/>
  <c r="AZ179" i="3" s="1"/>
  <c r="BA181" i="3"/>
  <c r="AZ181" i="3" s="1"/>
  <c r="BA182" i="3"/>
  <c r="AZ182" i="3" s="1"/>
  <c r="BA22" i="3"/>
  <c r="BA30" i="3"/>
  <c r="BL183" i="3"/>
  <c r="AZ183"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BL178" i="3"/>
  <c r="BA229" i="3"/>
  <c r="BL229" i="3"/>
  <c r="BL231" i="3"/>
  <c r="BL233" i="3"/>
  <c r="AZ233" i="3" s="1"/>
  <c r="BL235" i="3"/>
  <c r="AZ235" i="3" s="1"/>
  <c r="BL236" i="3"/>
  <c r="G237" i="3"/>
  <c r="BL238" i="3"/>
  <c r="AZ238" i="3" s="1"/>
  <c r="G239" i="3"/>
  <c r="BL243" i="3"/>
  <c r="AZ243" i="3" s="1"/>
  <c r="G244" i="3"/>
  <c r="BA247" i="3"/>
  <c r="AZ247" i="3" s="1"/>
  <c r="BL247" i="3"/>
  <c r="BA249" i="3"/>
  <c r="BL249" i="3"/>
  <c r="BA251" i="3"/>
  <c r="AZ251" i="3" s="1"/>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AZ126" i="3" s="1"/>
  <c r="G130" i="3"/>
  <c r="BL161" i="3"/>
  <c r="G162" i="3"/>
  <c r="BL162" i="3"/>
  <c r="AZ162" i="3" s="1"/>
  <c r="BL165" i="3"/>
  <c r="G166" i="3"/>
  <c r="BA33" i="3"/>
  <c r="AZ100" i="3"/>
  <c r="F40" i="69"/>
  <c r="C40" i="69"/>
  <c r="AB21" i="37"/>
  <c r="U21" i="37"/>
  <c r="T28" i="71"/>
  <c r="D28" i="71"/>
  <c r="U28" i="71" s="1"/>
  <c r="C27" i="71"/>
  <c r="C60" i="71"/>
  <c r="D59" i="71"/>
  <c r="F66" i="71"/>
  <c r="Q67" i="71"/>
  <c r="BA186" i="3"/>
  <c r="AZ186" i="3" s="1"/>
  <c r="BA190" i="3"/>
  <c r="G196" i="3"/>
  <c r="BA197" i="3"/>
  <c r="BL201" i="3"/>
  <c r="AZ201" i="3" s="1"/>
  <c r="BL203" i="3"/>
  <c r="AZ203" i="3" s="1"/>
  <c r="BA204" i="3"/>
  <c r="AZ204" i="3" s="1"/>
  <c r="BA18" i="3"/>
  <c r="G21" i="3"/>
  <c r="BL21" i="3"/>
  <c r="G23" i="3"/>
  <c r="G29" i="3"/>
  <c r="BL29" i="3"/>
  <c r="G33" i="3"/>
  <c r="G34" i="3"/>
  <c r="BA37" i="3"/>
  <c r="G39" i="3"/>
  <c r="BL39" i="3"/>
  <c r="G43" i="3"/>
  <c r="G44" i="3"/>
  <c r="BA45" i="3"/>
  <c r="AZ45" i="3" s="1"/>
  <c r="BA46" i="3"/>
  <c r="BL49" i="3"/>
  <c r="AZ49" i="3" s="1"/>
  <c r="BL50" i="3"/>
  <c r="AZ50" i="3" s="1"/>
  <c r="BL51" i="3"/>
  <c r="AZ51" i="3" s="1"/>
  <c r="G53" i="3"/>
  <c r="BL64" i="3"/>
  <c r="G65" i="3"/>
  <c r="BL65" i="3"/>
  <c r="BL66" i="3"/>
  <c r="BL67" i="3"/>
  <c r="AZ67" i="3" s="1"/>
  <c r="G69" i="3"/>
  <c r="G72" i="3"/>
  <c r="BL73" i="3"/>
  <c r="BA74" i="3"/>
  <c r="BL79" i="3"/>
  <c r="BL81" i="3"/>
  <c r="BA82" i="3"/>
  <c r="AZ82" i="3" s="1"/>
  <c r="BL83" i="3"/>
  <c r="G86" i="3"/>
  <c r="BA87" i="3"/>
  <c r="BA89" i="3"/>
  <c r="BL93" i="3"/>
  <c r="BL94" i="3"/>
  <c r="AZ94" i="3" s="1"/>
  <c r="BL101" i="3"/>
  <c r="BL102" i="3"/>
  <c r="AZ102" i="3" s="1"/>
  <c r="G104" i="3"/>
  <c r="BA106" i="3"/>
  <c r="BL108" i="3"/>
  <c r="AZ108" i="3" s="1"/>
  <c r="W21" i="21"/>
  <c r="U21" i="33"/>
  <c r="AB21" i="33"/>
  <c r="D44" i="71"/>
  <c r="T44" i="71"/>
  <c r="D34" i="71"/>
  <c r="C35" i="71"/>
  <c r="C55" i="71"/>
  <c r="D54" i="71"/>
  <c r="D67" i="71"/>
  <c r="C66" i="71"/>
  <c r="O67" i="71"/>
  <c r="BA185" i="3"/>
  <c r="BL191" i="3"/>
  <c r="AZ191" i="3" s="1"/>
  <c r="BA193" i="3"/>
  <c r="BA196" i="3"/>
  <c r="AZ196" i="3" s="1"/>
  <c r="BA205" i="3"/>
  <c r="AZ205" i="3" s="1"/>
  <c r="BL20" i="3"/>
  <c r="BA21" i="3"/>
  <c r="AZ21" i="3" s="1"/>
  <c r="BA25" i="3"/>
  <c r="BA26" i="3"/>
  <c r="BL28" i="3"/>
  <c r="BA29" i="3"/>
  <c r="AZ29" i="3" s="1"/>
  <c r="BA36" i="3"/>
  <c r="BL38" i="3"/>
  <c r="BA39" i="3"/>
  <c r="AZ39" i="3" s="1"/>
  <c r="BL47" i="3"/>
  <c r="AZ47" i="3" s="1"/>
  <c r="BA52" i="3"/>
  <c r="AZ52" i="3" s="1"/>
  <c r="BA53" i="3"/>
  <c r="BA54" i="3"/>
  <c r="BL57" i="3"/>
  <c r="BL62" i="3"/>
  <c r="AZ62" i="3" s="1"/>
  <c r="BL63" i="3"/>
  <c r="AZ65" i="3"/>
  <c r="BA73" i="3"/>
  <c r="BA103" i="3"/>
  <c r="AZ103" i="3" s="1"/>
  <c r="BA104" i="3"/>
  <c r="BA109" i="3"/>
  <c r="C64" i="71"/>
  <c r="D63" i="7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AZ64" i="3" s="1"/>
  <c r="BA68" i="3"/>
  <c r="BL74" i="3"/>
  <c r="G75" i="3"/>
  <c r="BL75" i="3"/>
  <c r="AZ75" i="3" s="1"/>
  <c r="BA80" i="3"/>
  <c r="BL84" i="3"/>
  <c r="G89" i="3"/>
  <c r="BA90" i="3"/>
  <c r="BA110" i="3"/>
  <c r="AZ110" i="3" s="1"/>
  <c r="D31" i="71"/>
  <c r="C32" i="71"/>
  <c r="D50" i="71"/>
  <c r="C51" i="71"/>
  <c r="V24" i="71"/>
  <c r="E23" i="71"/>
  <c r="E22" i="71" s="1"/>
  <c r="E21" i="71" s="1"/>
  <c r="E20" i="71" s="1"/>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53" i="3"/>
  <c r="BA56" i="3"/>
  <c r="BA57" i="3"/>
  <c r="AZ57" i="3" s="1"/>
  <c r="BL58" i="3"/>
  <c r="AZ58" i="3"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D76" i="71"/>
  <c r="T68" i="71"/>
  <c r="X34" i="71"/>
  <c r="X31" i="71"/>
  <c r="F35" i="71"/>
  <c r="F36" i="71" s="1"/>
  <c r="V36" i="71" s="1"/>
  <c r="AA34" i="71"/>
  <c r="AB35" i="7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J53" i="67"/>
  <c r="J57" i="67"/>
  <c r="J55" i="67" s="1"/>
  <c r="J58" i="67" s="1"/>
  <c r="Q50" i="67" s="1"/>
  <c r="L56" i="67"/>
  <c r="I54" i="67"/>
  <c r="F66" i="67"/>
  <c r="C27" i="67"/>
  <c r="F71" i="67"/>
  <c r="N59" i="67"/>
  <c r="L59" i="67"/>
  <c r="L58" i="67"/>
  <c r="M59" i="67"/>
  <c r="B13" i="70"/>
  <c r="M7" i="67"/>
  <c r="F50" i="67"/>
  <c r="C36" i="68"/>
  <c r="D9" i="69"/>
  <c r="C36" i="69"/>
  <c r="D9" i="68"/>
  <c r="M8" i="15"/>
  <c r="M26" i="15"/>
  <c r="F8" i="15"/>
  <c r="L47" i="15"/>
  <c r="F43" i="15"/>
  <c r="F6" i="15"/>
  <c r="F16" i="15"/>
  <c r="M9" i="15"/>
  <c r="F26" i="15"/>
  <c r="C76" i="15"/>
  <c r="M28" i="15"/>
  <c r="F37" i="15"/>
  <c r="M22" i="15"/>
  <c r="F9" i="15"/>
  <c r="J15" i="15"/>
  <c r="F40" i="15"/>
  <c r="F7" i="15"/>
  <c r="M6" i="15"/>
  <c r="M29" i="15"/>
  <c r="L48" i="15"/>
  <c r="M24" i="15"/>
  <c r="F38" i="15"/>
  <c r="M23" i="15"/>
  <c r="F42" i="15"/>
  <c r="F13" i="15"/>
  <c r="F36" i="15"/>
  <c r="M9" i="67"/>
  <c r="F8" i="67"/>
  <c r="D7" i="73"/>
  <c r="C16" i="67"/>
  <c r="F36" i="67"/>
  <c r="J15" i="67"/>
  <c r="M22" i="67"/>
  <c r="F6" i="67"/>
  <c r="C16" i="15"/>
  <c r="D4" i="73"/>
  <c r="M28" i="67"/>
  <c r="C76" i="67"/>
  <c r="F13" i="67"/>
  <c r="F37" i="67"/>
  <c r="F40" i="67"/>
  <c r="D3" i="73"/>
  <c r="D5" i="73"/>
  <c r="B20" i="31" l="1"/>
  <c r="B21" i="31" s="1"/>
  <c r="F48" i="9"/>
  <c r="O52" i="9" s="1"/>
  <c r="F32" i="67"/>
  <c r="F60" i="67" s="1"/>
  <c r="M18" i="67"/>
  <c r="F30" i="11"/>
  <c r="M18" i="15"/>
  <c r="F28" i="67"/>
  <c r="C28" i="67" s="1"/>
  <c r="F28" i="15"/>
  <c r="C28" i="15" s="1"/>
  <c r="H26" i="43"/>
  <c r="N94" i="46"/>
  <c r="N370" i="46"/>
  <c r="F26" i="43"/>
  <c r="F64" i="15"/>
  <c r="F66" i="15"/>
  <c r="I54" i="15"/>
  <c r="J53" i="15"/>
  <c r="L56" i="15" s="1"/>
  <c r="J57" i="15"/>
  <c r="J55" i="15" s="1"/>
  <c r="J58" i="15" s="1"/>
  <c r="Q50" i="15" s="1"/>
  <c r="F50" i="15"/>
  <c r="M7" i="15"/>
  <c r="J6" i="15" s="1"/>
  <c r="J18" i="15" s="1"/>
  <c r="F68" i="15"/>
  <c r="F65" i="15"/>
  <c r="Q71" i="15"/>
  <c r="C27" i="15"/>
  <c r="F31" i="15"/>
  <c r="C6" i="15"/>
  <c r="C32" i="15" s="1"/>
  <c r="F71" i="15"/>
  <c r="M59" i="15"/>
  <c r="N59" i="15"/>
  <c r="L59" i="15"/>
  <c r="Q61" i="15" s="1"/>
  <c r="L58" i="15"/>
  <c r="Q73" i="15" s="1"/>
  <c r="F51" i="15"/>
  <c r="F59" i="15" s="1"/>
  <c r="Q16" i="1"/>
  <c r="F27" i="69" s="1"/>
  <c r="C47" i="69" s="1"/>
  <c r="D45" i="69" s="1"/>
  <c r="E59" i="40"/>
  <c r="E26" i="43"/>
  <c r="G26" i="43"/>
  <c r="H16" i="1"/>
  <c r="K16" i="1"/>
  <c r="G16" i="1"/>
  <c r="F10" i="39" s="1"/>
  <c r="S10" i="39" s="1"/>
  <c r="P6" i="1"/>
  <c r="C13" i="12" s="1"/>
  <c r="F68" i="67"/>
  <c r="F65" i="67"/>
  <c r="Q71" i="67"/>
  <c r="C6" i="67"/>
  <c r="C32" i="67" s="1"/>
  <c r="F31" i="67"/>
  <c r="F64" i="67"/>
  <c r="F51" i="67"/>
  <c r="F59" i="67" s="1"/>
  <c r="C40" i="71"/>
  <c r="D39" i="71"/>
  <c r="D75" i="71"/>
  <c r="C74" i="71"/>
  <c r="D74" i="71" s="1"/>
  <c r="AZ25" i="3"/>
  <c r="C56" i="71"/>
  <c r="D55" i="71"/>
  <c r="D60" i="71"/>
  <c r="T60" i="71"/>
  <c r="AZ273" i="3"/>
  <c r="AA25" i="37"/>
  <c r="S25" i="37"/>
  <c r="AZ585" i="3"/>
  <c r="D79" i="71"/>
  <c r="C78" i="71"/>
  <c r="D78" i="71" s="1"/>
  <c r="C52" i="71"/>
  <c r="D51" i="71"/>
  <c r="O65" i="71"/>
  <c r="D66" i="71"/>
  <c r="O66" i="71"/>
  <c r="C36" i="71"/>
  <c r="D35" i="71"/>
  <c r="AZ197" i="3"/>
  <c r="C26" i="71"/>
  <c r="D26" i="71" s="1"/>
  <c r="D27" i="71"/>
  <c r="AB12" i="34"/>
  <c r="U12" i="34"/>
  <c r="U25" i="37"/>
  <c r="AB25" i="37"/>
  <c r="J6" i="67"/>
  <c r="J18" i="67" s="1"/>
  <c r="J7" i="36"/>
  <c r="D83" i="71"/>
  <c r="C82" i="71"/>
  <c r="D82" i="71" s="1"/>
  <c r="AZ74" i="3"/>
  <c r="AZ249" i="3"/>
  <c r="AZ150" i="3"/>
  <c r="AZ137" i="3"/>
  <c r="AZ297" i="3"/>
  <c r="AZ241" i="3"/>
  <c r="AZ491" i="3"/>
  <c r="AA44" i="39"/>
  <c r="S44" i="39"/>
  <c r="J7" i="37"/>
  <c r="AC7" i="37" s="1"/>
  <c r="G5" i="3"/>
  <c r="B3" i="3" s="1"/>
  <c r="I3" i="6" s="1"/>
  <c r="C70" i="71"/>
  <c r="D70" i="71" s="1"/>
  <c r="D71" i="71"/>
  <c r="T32" i="71"/>
  <c r="D32" i="71"/>
  <c r="AZ20" i="3"/>
  <c r="AZ53" i="3"/>
  <c r="AZ38" i="3"/>
  <c r="AZ190" i="3"/>
  <c r="AZ118" i="3"/>
  <c r="AZ229" i="3"/>
  <c r="AZ302" i="3"/>
  <c r="AZ284" i="3"/>
  <c r="AZ277" i="3"/>
  <c r="AZ256" i="3"/>
  <c r="AZ332" i="3"/>
  <c r="AZ464" i="3"/>
  <c r="AZ441" i="3"/>
  <c r="AZ405" i="3"/>
  <c r="AZ414" i="3"/>
  <c r="AZ218" i="3"/>
  <c r="W12" i="35"/>
  <c r="AC12" i="35"/>
  <c r="K1" i="73"/>
  <c r="E120" i="3"/>
  <c r="E274" i="3"/>
  <c r="E576" i="3"/>
  <c r="E88" i="3"/>
  <c r="E282" i="3"/>
  <c r="E559" i="3"/>
  <c r="E114" i="3"/>
  <c r="E518" i="3"/>
  <c r="E99" i="3"/>
  <c r="E571" i="3"/>
  <c r="E549" i="3"/>
  <c r="E477" i="3"/>
  <c r="E476" i="3"/>
  <c r="E331" i="3"/>
  <c r="E175" i="3"/>
  <c r="E410" i="3"/>
  <c r="E337" i="3"/>
  <c r="E380" i="3"/>
  <c r="E216" i="3"/>
  <c r="E503" i="3"/>
  <c r="E301" i="3"/>
  <c r="E77" i="3"/>
  <c r="E545" i="3"/>
  <c r="K6" i="3"/>
  <c r="E560" i="3"/>
  <c r="E468" i="3"/>
  <c r="E106" i="3"/>
  <c r="E214" i="3"/>
  <c r="E74" i="3"/>
  <c r="E227" i="3"/>
  <c r="E327" i="3"/>
  <c r="Z6" i="3"/>
  <c r="E485" i="3"/>
  <c r="E531" i="3"/>
  <c r="E489" i="3"/>
  <c r="E182" i="3"/>
  <c r="E273" i="3"/>
  <c r="E109" i="3"/>
  <c r="E217" i="3"/>
  <c r="AJ6" i="3"/>
  <c r="E579" i="3"/>
  <c r="E431" i="3"/>
  <c r="E514" i="3"/>
  <c r="E570" i="3"/>
  <c r="E387" i="3"/>
  <c r="E189" i="3"/>
  <c r="E278" i="3"/>
  <c r="E172" i="3"/>
  <c r="E135" i="3"/>
  <c r="E191" i="3"/>
  <c r="E263" i="3"/>
  <c r="E246" i="3"/>
  <c r="E100" i="3"/>
  <c r="E148" i="3"/>
  <c r="E296" i="3"/>
  <c r="E483" i="3"/>
  <c r="AA26" i="37"/>
  <c r="S26" i="37"/>
  <c r="BA5" i="3"/>
  <c r="E27" i="6" s="1"/>
  <c r="K26" i="6" s="1"/>
  <c r="M26" i="6" s="1"/>
  <c r="I26" i="6" s="1"/>
  <c r="S26" i="6" s="1"/>
  <c r="C19" i="71"/>
  <c r="T20" i="71"/>
  <c r="D20" i="71"/>
  <c r="U20" i="71" s="1"/>
  <c r="AZ5" i="3"/>
  <c r="E240" i="3"/>
  <c r="E487" i="3"/>
  <c r="W40" i="40"/>
  <c r="AC40" i="40"/>
  <c r="AC12" i="21"/>
  <c r="W12" i="21"/>
  <c r="AB12" i="21"/>
  <c r="U12" i="21"/>
  <c r="AA27" i="34"/>
  <c r="S27" i="34"/>
  <c r="AC26" i="37"/>
  <c r="W26" i="37"/>
  <c r="BL5" i="3"/>
  <c r="B15" i="71"/>
  <c r="B14" i="71" s="1"/>
  <c r="B13" i="71" s="1"/>
  <c r="B12" i="71" s="1"/>
  <c r="S16" i="71"/>
  <c r="F7" i="36"/>
  <c r="AA7" i="36" s="1"/>
  <c r="R36" i="36" s="1"/>
  <c r="H7" i="36"/>
  <c r="U7" i="36" s="1"/>
  <c r="E142" i="3"/>
  <c r="E118"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M14" i="1"/>
  <c r="D5" i="43"/>
  <c r="J10" i="39"/>
  <c r="W10" i="39" s="1"/>
  <c r="C7" i="43"/>
  <c r="C5" i="43" s="1"/>
  <c r="D10" i="52"/>
  <c r="D125" i="9"/>
  <c r="D11" i="52" s="1"/>
  <c r="B7" i="74"/>
  <c r="C7" i="74" s="1"/>
  <c r="F67" i="39"/>
  <c r="E69" i="39"/>
  <c r="H7" i="37"/>
  <c r="AB7" i="37" s="1"/>
  <c r="T42" i="37" s="1"/>
  <c r="G42" i="37" s="1"/>
  <c r="H7" i="33"/>
  <c r="J7" i="33"/>
  <c r="D65" i="40"/>
  <c r="E63" i="40"/>
  <c r="F48" i="35"/>
  <c r="S7" i="36"/>
  <c r="W7" i="37"/>
  <c r="F7" i="33"/>
  <c r="E58" i="21"/>
  <c r="AC7" i="36"/>
  <c r="V36" i="36" s="1"/>
  <c r="I36" i="36" s="1"/>
  <c r="W7" i="36"/>
  <c r="F7" i="37"/>
  <c r="M17" i="67"/>
  <c r="P28" i="43"/>
  <c r="B66" i="40" s="1"/>
  <c r="P25" i="43"/>
  <c r="P29" i="43"/>
  <c r="P27" i="43"/>
  <c r="B70" i="39" s="1"/>
  <c r="Q60" i="67"/>
  <c r="Q73" i="67"/>
  <c r="M11" i="67"/>
  <c r="J10" i="67" s="1"/>
  <c r="F11" i="15"/>
  <c r="M11" i="15"/>
  <c r="J10" i="15" s="1"/>
  <c r="F11" i="67"/>
  <c r="F1" i="67"/>
  <c r="Q52" i="67"/>
  <c r="Q60" i="15"/>
  <c r="Q61" i="67"/>
  <c r="Q74" i="67"/>
  <c r="AE11" i="1"/>
  <c r="AE9" i="1"/>
  <c r="AE7" i="1"/>
  <c r="AE8" i="1"/>
  <c r="AE12" i="1"/>
  <c r="AE10" i="1"/>
  <c r="F41" i="67"/>
  <c r="G1" i="73"/>
  <c r="J5" i="15" l="1"/>
  <c r="J24" i="15" s="1"/>
  <c r="C48" i="11"/>
  <c r="C30" i="11"/>
  <c r="Q74" i="15"/>
  <c r="E587" i="3"/>
  <c r="E133" i="3"/>
  <c r="E124" i="3"/>
  <c r="E361" i="3"/>
  <c r="E538" i="3"/>
  <c r="E305" i="3"/>
  <c r="E210" i="3"/>
  <c r="E414" i="3"/>
  <c r="E351" i="3"/>
  <c r="E457" i="3"/>
  <c r="E511" i="3"/>
  <c r="E245" i="3"/>
  <c r="E130" i="3"/>
  <c r="E229" i="3"/>
  <c r="E480" i="3"/>
  <c r="E404" i="3"/>
  <c r="E252" i="3"/>
  <c r="E55" i="3"/>
  <c r="E262" i="3"/>
  <c r="E17" i="3"/>
  <c r="E359" i="3"/>
  <c r="E272" i="3"/>
  <c r="E357" i="3"/>
  <c r="E167" i="3"/>
  <c r="E416" i="3"/>
  <c r="E473" i="3"/>
  <c r="E510" i="3"/>
  <c r="E94" i="3"/>
  <c r="E219" i="3"/>
  <c r="E132" i="3"/>
  <c r="E385" i="3"/>
  <c r="E445" i="3"/>
  <c r="E335" i="3"/>
  <c r="E311" i="3"/>
  <c r="E268" i="3"/>
  <c r="E211" i="3"/>
  <c r="E345" i="3"/>
  <c r="E368" i="3"/>
  <c r="E171" i="3"/>
  <c r="E465" i="3"/>
  <c r="AK6" i="3"/>
  <c r="E586" i="3"/>
  <c r="E183" i="3"/>
  <c r="E533" i="3"/>
  <c r="E343" i="3"/>
  <c r="E27" i="3"/>
  <c r="E107" i="3"/>
  <c r="E279" i="3"/>
  <c r="E458" i="3"/>
  <c r="E253" i="3"/>
  <c r="E117" i="3"/>
  <c r="E294" i="3"/>
  <c r="E569" i="3"/>
  <c r="E334" i="3"/>
  <c r="E558" i="3"/>
  <c r="E580" i="3"/>
  <c r="E429" i="3"/>
  <c r="E156" i="3"/>
  <c r="E169" i="3"/>
  <c r="E574" i="3"/>
  <c r="E547" i="3"/>
  <c r="E288" i="3"/>
  <c r="E163" i="3"/>
  <c r="E398" i="3"/>
  <c r="E507" i="3"/>
  <c r="E269" i="3"/>
  <c r="E72" i="3"/>
  <c r="E45" i="3"/>
  <c r="E336" i="3"/>
  <c r="E550" i="3"/>
  <c r="E551" i="3"/>
  <c r="N6" i="3"/>
  <c r="E316" i="3"/>
  <c r="E448" i="3"/>
  <c r="E394" i="3"/>
  <c r="E481" i="3"/>
  <c r="E303" i="3"/>
  <c r="E321" i="3"/>
  <c r="E153" i="3"/>
  <c r="E379" i="3"/>
  <c r="E224" i="3"/>
  <c r="E584" i="3"/>
  <c r="E62" i="3"/>
  <c r="E80" i="3"/>
  <c r="E159" i="3"/>
  <c r="E523" i="3"/>
  <c r="E317" i="3"/>
  <c r="E207" i="3"/>
  <c r="E307" i="3"/>
  <c r="E48" i="3"/>
  <c r="E325" i="3"/>
  <c r="E22" i="3"/>
  <c r="E378" i="3"/>
  <c r="E248" i="3"/>
  <c r="E131" i="3"/>
  <c r="AY6" i="3"/>
  <c r="E275" i="3"/>
  <c r="E200" i="3"/>
  <c r="AI6" i="3"/>
  <c r="E535" i="3"/>
  <c r="E69" i="3"/>
  <c r="AB6" i="3"/>
  <c r="E247" i="3"/>
  <c r="E322" i="3"/>
  <c r="E572" i="3"/>
  <c r="E28" i="3"/>
  <c r="E400" i="3"/>
  <c r="E204" i="3"/>
  <c r="E315" i="3"/>
  <c r="E454" i="3"/>
  <c r="E406" i="3"/>
  <c r="E228" i="3"/>
  <c r="E347" i="3"/>
  <c r="E134" i="3"/>
  <c r="E185" i="3"/>
  <c r="AR6" i="3"/>
  <c r="E555" i="3"/>
  <c r="E44" i="3"/>
  <c r="E447" i="3"/>
  <c r="E515" i="3"/>
  <c r="E318" i="3"/>
  <c r="E433" i="3"/>
  <c r="E573" i="3"/>
  <c r="E453" i="3"/>
  <c r="E382" i="3"/>
  <c r="E260" i="3"/>
  <c r="E407" i="3"/>
  <c r="E396" i="3"/>
  <c r="E366" i="3"/>
  <c r="E121" i="3"/>
  <c r="E443" i="3"/>
  <c r="E236" i="3"/>
  <c r="E73" i="3"/>
  <c r="E437" i="3"/>
  <c r="E280" i="3"/>
  <c r="E213" i="3"/>
  <c r="S6" i="3"/>
  <c r="E319" i="3"/>
  <c r="E367" i="3"/>
  <c r="E168" i="3"/>
  <c r="E157" i="3"/>
  <c r="E87" i="3"/>
  <c r="E375" i="3"/>
  <c r="E244" i="3"/>
  <c r="E20" i="3"/>
  <c r="E276" i="3"/>
  <c r="E232" i="3"/>
  <c r="W6" i="3"/>
  <c r="E122" i="3"/>
  <c r="E66" i="3"/>
  <c r="E284" i="3"/>
  <c r="E348" i="3"/>
  <c r="E392" i="3"/>
  <c r="E498" i="3"/>
  <c r="E456" i="3"/>
  <c r="E242" i="3"/>
  <c r="E119" i="3"/>
  <c r="X6" i="3"/>
  <c r="E423" i="3"/>
  <c r="E161" i="3"/>
  <c r="E563" i="3"/>
  <c r="E215" i="3"/>
  <c r="M6" i="3"/>
  <c r="E201" i="3"/>
  <c r="E509" i="3"/>
  <c r="E526" i="3"/>
  <c r="E377" i="3"/>
  <c r="E70" i="3"/>
  <c r="E557" i="3"/>
  <c r="AO6" i="3"/>
  <c r="E89" i="3"/>
  <c r="E362" i="3"/>
  <c r="E146" i="3"/>
  <c r="E577" i="3"/>
  <c r="E472" i="3"/>
  <c r="E277" i="3"/>
  <c r="E568" i="3"/>
  <c r="E495" i="3"/>
  <c r="E91" i="3"/>
  <c r="E261" i="3"/>
  <c r="E439" i="3"/>
  <c r="E270" i="3"/>
  <c r="E508" i="3"/>
  <c r="E441" i="3"/>
  <c r="E186" i="3"/>
  <c r="E505" i="3"/>
  <c r="E585" i="3"/>
  <c r="E567" i="3"/>
  <c r="E111" i="3"/>
  <c r="E562" i="3"/>
  <c r="E519" i="3"/>
  <c r="E85" i="3"/>
  <c r="E293" i="3"/>
  <c r="E61" i="3"/>
  <c r="E415" i="3"/>
  <c r="E320" i="3"/>
  <c r="E358" i="3"/>
  <c r="E239" i="3"/>
  <c r="E125" i="3"/>
  <c r="E295" i="3"/>
  <c r="E581" i="3"/>
  <c r="AG6" i="3"/>
  <c r="I6" i="3"/>
  <c r="E203" i="3"/>
  <c r="AE6" i="3"/>
  <c r="Q6" i="3"/>
  <c r="E434" i="3"/>
  <c r="E353" i="3"/>
  <c r="E254" i="3"/>
  <c r="E304" i="3"/>
  <c r="E338" i="3"/>
  <c r="E390" i="3"/>
  <c r="E328" i="3"/>
  <c r="E53" i="3"/>
  <c r="E92" i="3"/>
  <c r="E432" i="3"/>
  <c r="E397" i="3"/>
  <c r="E54" i="3"/>
  <c r="E474" i="3"/>
  <c r="E136" i="3"/>
  <c r="E98" i="3"/>
  <c r="E195" i="3"/>
  <c r="E374" i="3"/>
  <c r="E436" i="3"/>
  <c r="E354" i="3"/>
  <c r="E24" i="3"/>
  <c r="E141" i="3"/>
  <c r="E289" i="3"/>
  <c r="E137" i="3"/>
  <c r="E226" i="3"/>
  <c r="E427" i="3"/>
  <c r="E115" i="3"/>
  <c r="E18" i="3"/>
  <c r="E344" i="3"/>
  <c r="E177" i="3"/>
  <c r="E238" i="3"/>
  <c r="AN6" i="3"/>
  <c r="E302" i="3"/>
  <c r="E237" i="3"/>
  <c r="E418" i="3"/>
  <c r="E285" i="3"/>
  <c r="E426" i="3"/>
  <c r="E29" i="3"/>
  <c r="E71" i="3"/>
  <c r="U6" i="3"/>
  <c r="E14" i="3"/>
  <c r="E475" i="3"/>
  <c r="E532" i="3"/>
  <c r="E461" i="3"/>
  <c r="E187" i="3"/>
  <c r="E179" i="3"/>
  <c r="E542" i="3"/>
  <c r="E464" i="3"/>
  <c r="E57" i="3"/>
  <c r="E58" i="3"/>
  <c r="E101" i="3"/>
  <c r="E112" i="3"/>
  <c r="E79" i="3"/>
  <c r="E40" i="3"/>
  <c r="E16" i="3"/>
  <c r="E26" i="3"/>
  <c r="E309" i="3"/>
  <c r="R6" i="3"/>
  <c r="E291" i="3"/>
  <c r="E546" i="3"/>
  <c r="E411" i="3"/>
  <c r="E196" i="3"/>
  <c r="E257" i="3"/>
  <c r="E537" i="3"/>
  <c r="E529" i="3"/>
  <c r="E306" i="3"/>
  <c r="E127" i="3"/>
  <c r="E413" i="3"/>
  <c r="E459" i="3"/>
  <c r="E39" i="3"/>
  <c r="E266" i="3"/>
  <c r="E149" i="3"/>
  <c r="E110" i="3"/>
  <c r="E51" i="3"/>
  <c r="E155" i="3"/>
  <c r="E265" i="3"/>
  <c r="E147" i="3"/>
  <c r="E234" i="3"/>
  <c r="L6" i="3"/>
  <c r="E401" i="3"/>
  <c r="E105" i="3"/>
  <c r="E412" i="3"/>
  <c r="E405" i="3"/>
  <c r="E184" i="3"/>
  <c r="E536" i="3"/>
  <c r="E249" i="3"/>
  <c r="E102" i="3"/>
  <c r="E451" i="3"/>
  <c r="E324" i="3"/>
  <c r="E116" i="3"/>
  <c r="E376" i="3"/>
  <c r="E202" i="3"/>
  <c r="E43" i="3"/>
  <c r="E194" i="3"/>
  <c r="E52" i="3"/>
  <c r="E50" i="3"/>
  <c r="E365" i="3"/>
  <c r="E566" i="3"/>
  <c r="E386" i="3"/>
  <c r="E421" i="3"/>
  <c r="E446" i="3"/>
  <c r="E323" i="3"/>
  <c r="E297" i="3"/>
  <c r="E341" i="3"/>
  <c r="E462" i="3"/>
  <c r="AD6"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F45" i="69"/>
  <c r="C49" i="15"/>
  <c r="AA10" i="39"/>
  <c r="H10" i="39"/>
  <c r="U10" i="39" s="1"/>
  <c r="F10" i="40"/>
  <c r="S10" i="40" s="1"/>
  <c r="H10" i="40"/>
  <c r="AB10" i="40" s="1"/>
  <c r="J10" i="40"/>
  <c r="AC10" i="40" s="1"/>
  <c r="D26" i="43"/>
  <c r="C25" i="43" s="1"/>
  <c r="C33" i="43" s="1"/>
  <c r="F27" i="68"/>
  <c r="F45" i="68" s="1"/>
  <c r="C29" i="69"/>
  <c r="D27" i="69" s="1"/>
  <c r="Q52" i="15"/>
  <c r="M17" i="15"/>
  <c r="F28" i="12"/>
  <c r="C29" i="12" s="1"/>
  <c r="D28" i="12" s="1"/>
  <c r="F1" i="15"/>
  <c r="F27" i="11"/>
  <c r="C29" i="11" s="1"/>
  <c r="D27" i="11" s="1"/>
  <c r="E455" i="3"/>
  <c r="E372" i="3"/>
  <c r="E25" i="3"/>
  <c r="AH6" i="3"/>
  <c r="E543" i="3"/>
  <c r="E326" i="3"/>
  <c r="E220" i="3"/>
  <c r="E13" i="3"/>
  <c r="E205" i="3"/>
  <c r="AL6" i="3"/>
  <c r="E425" i="3"/>
  <c r="J5" i="67"/>
  <c r="J24" i="67" s="1"/>
  <c r="E488" i="3"/>
  <c r="Y6" i="3"/>
  <c r="E259" i="3"/>
  <c r="E373" i="3"/>
  <c r="E47" i="3"/>
  <c r="E582" i="3"/>
  <c r="E19" i="3"/>
  <c r="E209" i="3"/>
  <c r="E500" i="3"/>
  <c r="E222" i="3"/>
  <c r="E65" i="3"/>
  <c r="E460" i="3"/>
  <c r="E165" i="3"/>
  <c r="E218" i="3"/>
  <c r="E340" i="3"/>
  <c r="E36" i="3"/>
  <c r="E339" i="3"/>
  <c r="E38" i="3"/>
  <c r="E540" i="3"/>
  <c r="E333" i="3"/>
  <c r="E108" i="3"/>
  <c r="E419" i="3"/>
  <c r="E440" i="3"/>
  <c r="E393" i="3"/>
  <c r="E329" i="3"/>
  <c r="E49" i="3"/>
  <c r="E225" i="3"/>
  <c r="E497" i="3"/>
  <c r="E525" i="3"/>
  <c r="E235" i="3"/>
  <c r="E63" i="3"/>
  <c r="E363" i="3"/>
  <c r="E138" i="3"/>
  <c r="E520" i="3"/>
  <c r="E312" i="3"/>
  <c r="E250" i="3"/>
  <c r="E521" i="3"/>
  <c r="E90" i="3"/>
  <c r="E552" i="3"/>
  <c r="E524" i="3"/>
  <c r="E176" i="3"/>
  <c r="E364" i="3"/>
  <c r="E123" i="3"/>
  <c r="AQ6" i="3"/>
  <c r="E299" i="3"/>
  <c r="E170" i="3"/>
  <c r="E15" i="3"/>
  <c r="E60" i="3"/>
  <c r="E346" i="3"/>
  <c r="E178" i="3"/>
  <c r="E463" i="3"/>
  <c r="J6" i="3"/>
  <c r="E422" i="3"/>
  <c r="E564" i="3"/>
  <c r="E188" i="3"/>
  <c r="E158" i="3"/>
  <c r="E35" i="3"/>
  <c r="E428" i="3"/>
  <c r="E420" i="3"/>
  <c r="E408" i="3"/>
  <c r="E173" i="3"/>
  <c r="E34" i="3"/>
  <c r="E198" i="3"/>
  <c r="E23" i="3"/>
  <c r="E56" i="3"/>
  <c r="E190" i="3"/>
  <c r="E356" i="3"/>
  <c r="E41" i="3"/>
  <c r="E470" i="3"/>
  <c r="E556" i="3"/>
  <c r="E512" i="3"/>
  <c r="T6" i="3"/>
  <c r="E197" i="3"/>
  <c r="E308" i="3"/>
  <c r="AF6" i="3"/>
  <c r="E86" i="3"/>
  <c r="E174" i="3"/>
  <c r="E482" i="3"/>
  <c r="E391" i="3"/>
  <c r="E494" i="3"/>
  <c r="E283" i="3"/>
  <c r="E68" i="3"/>
  <c r="E144" i="3"/>
  <c r="E492" i="3"/>
  <c r="E160" i="3"/>
  <c r="E484" i="3"/>
  <c r="E292" i="3"/>
  <c r="E479" i="3"/>
  <c r="E255" i="3"/>
  <c r="E499" i="3"/>
  <c r="E3" i="6"/>
  <c r="D37" i="11" s="1"/>
  <c r="E490" i="3"/>
  <c r="E486" i="3"/>
  <c r="E493" i="3"/>
  <c r="E223" i="3"/>
  <c r="E83" i="3"/>
  <c r="E370" i="3"/>
  <c r="E342" i="3"/>
  <c r="E78" i="3"/>
  <c r="E243" i="3"/>
  <c r="E104" i="3"/>
  <c r="E452" i="3"/>
  <c r="E360" i="3"/>
  <c r="E469" i="3"/>
  <c r="E534" i="3"/>
  <c r="E140" i="3"/>
  <c r="E287" i="3"/>
  <c r="E251" i="3"/>
  <c r="E522" i="3"/>
  <c r="E129" i="3"/>
  <c r="E75" i="3"/>
  <c r="E332" i="3"/>
  <c r="E21" i="3"/>
  <c r="E264" i="3"/>
  <c r="E381" i="3"/>
  <c r="E33" i="3"/>
  <c r="E371" i="3"/>
  <c r="E103" i="3"/>
  <c r="E76" i="3"/>
  <c r="E192" i="3"/>
  <c r="E435" i="3"/>
  <c r="E541" i="3"/>
  <c r="E199" i="3"/>
  <c r="E113" i="3"/>
  <c r="E206" i="3"/>
  <c r="E383" i="3"/>
  <c r="E96" i="3"/>
  <c r="E42" i="3"/>
  <c r="E281" i="3"/>
  <c r="E513" i="3"/>
  <c r="E81" i="3"/>
  <c r="E355" i="3"/>
  <c r="E84" i="3"/>
  <c r="E300" i="3"/>
  <c r="E46" i="3"/>
  <c r="E544" i="3"/>
  <c r="E152" i="3"/>
  <c r="E517" i="3"/>
  <c r="E466" i="3"/>
  <c r="E212" i="3"/>
  <c r="C49" i="67"/>
  <c r="AB7" i="36"/>
  <c r="T36" i="36" s="1"/>
  <c r="G36" i="36" s="1"/>
  <c r="E467" i="3"/>
  <c r="E59" i="3"/>
  <c r="E349" i="3"/>
  <c r="E258" i="3"/>
  <c r="E37" i="3"/>
  <c r="E491" i="3"/>
  <c r="AP6" i="3"/>
  <c r="E430" i="3"/>
  <c r="E502" i="3"/>
  <c r="E286" i="3"/>
  <c r="E539" i="3"/>
  <c r="D36" i="71"/>
  <c r="T36" i="71"/>
  <c r="T40" i="71"/>
  <c r="D40" i="71"/>
  <c r="T52" i="71"/>
  <c r="D52" i="71"/>
  <c r="E233" i="3"/>
  <c r="E67" i="3"/>
  <c r="E310" i="3"/>
  <c r="E267" i="3"/>
  <c r="E64" i="3"/>
  <c r="E409" i="3"/>
  <c r="E389" i="3"/>
  <c r="E241" i="3"/>
  <c r="E95" i="3"/>
  <c r="E417" i="3"/>
  <c r="E554" i="3"/>
  <c r="E449" i="3"/>
  <c r="E442" i="3"/>
  <c r="E575" i="3"/>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3"/>
  <c r="C39" i="43"/>
  <c r="C42" i="43"/>
  <c r="E42" i="43" s="1"/>
  <c r="C38" i="43"/>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6" i="1"/>
  <c r="F41" i="15"/>
  <c r="M27" i="15"/>
  <c r="M27" i="67"/>
  <c r="C29" i="68" l="1"/>
  <c r="D27" i="68" s="1"/>
  <c r="C47" i="68"/>
  <c r="D45" i="68" s="1"/>
  <c r="H6" i="3"/>
  <c r="AB10" i="39"/>
  <c r="U10" i="40"/>
  <c r="C48" i="67"/>
  <c r="C66" i="67" s="1"/>
  <c r="D3" i="34"/>
  <c r="AC6" i="3"/>
  <c r="E6" i="3" s="1"/>
  <c r="M18" i="9"/>
  <c r="B118" i="9" s="1"/>
  <c r="B1" i="74" s="1"/>
  <c r="C17" i="4"/>
  <c r="B4" i="52" s="1"/>
  <c r="B43" i="72" s="1"/>
  <c r="D14" i="12"/>
  <c r="D17" i="12" s="1"/>
  <c r="C17" i="12" s="1"/>
  <c r="D3" i="21"/>
  <c r="L18" i="9"/>
  <c r="D3" i="37"/>
  <c r="D19" i="11"/>
  <c r="C19" i="11" s="1"/>
  <c r="C20" i="11" s="1"/>
  <c r="D116" i="43"/>
  <c r="F24" i="67"/>
  <c r="C24" i="67" s="1"/>
  <c r="F24" i="15"/>
  <c r="C24" i="15" s="1"/>
  <c r="F22" i="69"/>
  <c r="F41" i="69" s="1"/>
  <c r="F22" i="68"/>
  <c r="C26" i="68" s="1"/>
  <c r="D22" i="68" s="1"/>
  <c r="F25" i="12"/>
  <c r="C26" i="12" s="1"/>
  <c r="D25" i="12" s="1"/>
  <c r="F22" i="11"/>
  <c r="C44" i="11" s="1"/>
  <c r="D41"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7" i="15"/>
  <c r="C14" i="67"/>
  <c r="C17" i="67"/>
  <c r="C6" i="68" l="1"/>
  <c r="C7" i="68" s="1"/>
  <c r="C5" i="68" s="1"/>
  <c r="C23" i="68" s="1"/>
  <c r="C60" i="67"/>
  <c r="C23" i="11"/>
  <c r="F41" i="68"/>
  <c r="H24" i="6"/>
  <c r="R24" i="6" s="1"/>
  <c r="R11" i="1" s="1"/>
  <c r="C26" i="11"/>
  <c r="D22" i="11" s="1"/>
  <c r="D30" i="6"/>
  <c r="C24" i="11"/>
  <c r="H25" i="6"/>
  <c r="R25" i="6" s="1"/>
  <c r="R12" i="1" s="1"/>
  <c r="H21" i="6"/>
  <c r="H22" i="6"/>
  <c r="R22" i="6" s="1"/>
  <c r="R9" i="1" s="1"/>
  <c r="C28" i="11"/>
  <c r="C27" i="11" s="1"/>
  <c r="C25" i="11"/>
  <c r="C22" i="11" s="1"/>
  <c r="C44" i="68"/>
  <c r="D41" i="68" s="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R23" i="6"/>
  <c r="R10" i="1" s="1"/>
  <c r="D27" i="6"/>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31" i="6" l="1"/>
  <c r="C31" i="1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4"/>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7" i="1"/>
  <c r="AO10" i="1"/>
  <c r="AO9"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<sst xmlns="http://schemas.openxmlformats.org/spreadsheetml/2006/main" count="7812" uniqueCount="3410">
  <si>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</si>
  <si>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</si>
  <si>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</si>
  <si>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</si>
  <si>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</si>
  <si>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</si>
  <si>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</si>
  <si>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</si>
  <si>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</si>
  <si>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</si>
  <si>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</si>
  <si>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</si>
  <si>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</si>
  <si>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</si>
  <si>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</si>
  <si>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</si>
  <si>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</si>
  <si>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</si>
  <si>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</si>
  <si>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</si>
  <si>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</si>
  <si>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</si>
  <si>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</si>
  <si>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</si>
  <si>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</si>
  <si>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</si>
  <si>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</si>
  <si>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</si>
  <si>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</si>
  <si>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</si>
  <si>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</si>
  <si>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</si>
  <si>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</si>
  <si>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</si>
  <si>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</si>
  <si>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</si>
  <si>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</si>
  <si>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</si>
  <si>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</si>
  <si>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</si>
  <si>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</si>
  <si>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</si>
  <si>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</si>
  <si>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</si>
  <si>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</si>
  <si>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</si>
  <si>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</si>
  <si>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</si>
  <si>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</si>
  <si>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</si>
  <si>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</si>
  <si>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</si>
  <si>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</si>
  <si>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</si>
  <si>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</si>
  <si>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</si>
  <si>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</si>
  <si>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</si>
  <si>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</si>
  <si>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</si>
  <si>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</si>
  <si>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</si>
  <si>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</si>
  <si>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</si>
  <si>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</si>
  <si>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</si>
  <si>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</si>
  <si>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</si>
  <si>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</si>
  <si>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</si>
  <si>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</si>
  <si>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</si>
  <si>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</si>
  <si>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</si>
  <si>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</si>
  <si>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</si>
  <si>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</si>
  <si>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</si>
  <si>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</si>
  <si>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</si>
  <si>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</si>
  <si>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</si>
  <si>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</si>
  <si>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</si>
  <si>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</si>
  <si>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</si>
  <si>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</si>
  <si>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</si>
  <si>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</si>
  <si>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</si>
  <si>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</si>
  <si>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</si>
  <si>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</si>
  <si>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</si>
  <si>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</si>
  <si>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</si>
  <si>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</si>
  <si>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</si>
  <si>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</si>
  <si>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</si>
  <si>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</si>
  <si>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</si>
  <si>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</si>
  <si>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</si>
  <si>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</si>
  <si>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</si>
  <si>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</si>
  <si>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</si>
  <si>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</si>
  <si>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</si>
  <si>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</si>
  <si>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</si>
  <si>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</si>
  <si>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</si>
  <si>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</si>
  <si>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</si>
  <si>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</si>
  <si>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</si>
  <si>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</si>
  <si>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</si>
  <si>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</si>
  <si>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</si>
  <si>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</si>
  <si>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</si>
  <si>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</si>
  <si>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</si>
  <si>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</si>
  <si>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</si>
  <si>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</si>
  <si>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</si>
  <si>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</si>
  <si>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</si>
  <si>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</si>
  <si>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</si>
  <si>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</si>
  <si>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</si>
  <si>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</si>
  <si>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</si>
  <si>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</si>
  <si>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</si>
  <si>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</si>
  <si>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</si>
  <si>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</si>
  <si>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</si>
  <si>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</si>
  <si>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</si>
  <si>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</si>
  <si>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</si>
  <si>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</si>
  <si>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</si>
  <si>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</si>
  <si>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</si>
  <si>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</si>
  <si>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</si>
  <si>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</si>
  <si>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</si>
  <si>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</si>
  <si>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</si>
  <si>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</si>
  <si>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</si>
  <si>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</si>
  <si>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</si>
  <si>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</si>
  <si>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</si>
  <si>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</si>
  <si>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</si>
  <si>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</si>
  <si>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</si>
  <si>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</si>
  <si>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</si>
  <si>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</si>
  <si>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</si>
  <si>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</si>
  <si>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</si>
  <si>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</si>
  <si>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</si>
  <si>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</si>
  <si>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</si>
  <si>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</si>
  <si>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</si>
  <si>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</si>
  <si>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</si>
  <si>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</si>
  <si>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</si>
  <si>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</si>
  <si>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</si>
  <si>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</si>
  <si>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</si>
  <si>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</si>
  <si>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</si>
  <si>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</si>
  <si>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</si>
  <si>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</si>
  <si>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</si>
  <si>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</si>
  <si>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</si>
  <si>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</si>
  <si>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</si>
  <si>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</si>
  <si>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</si>
  <si>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</si>
  <si>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</si>
  <si>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</si>
  <si>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</si>
  <si>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</si>
  <si>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</si>
  <si>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</si>
  <si>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</si>
  <si>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</si>
  <si>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</si>
  <si>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</si>
  <si>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</si>
  <si>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</si>
  <si>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</si>
  <si>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</si>
  <si>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</si>
  <si>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</si>
  <si>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</si>
  <si>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</si>
  <si>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</si>
  <si>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</si>
  <si>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</si>
  <si>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</si>
  <si>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</si>
  <si>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</si>
  <si>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</si>
  <si>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</si>
  <si>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</si>
  <si>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</si>
  <si>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</si>
  <si>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</si>
  <si>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</si>
  <si>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</si>
  <si>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</si>
  <si>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</si>
  <si>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</si>
  <si>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</si>
  <si>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</si>
  <si>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</si>
  <si>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</si>
  <si>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</si>
  <si>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</si>
  <si>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</si>
  <si>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</si>
  <si>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</si>
  <si>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</si>
  <si>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</si>
  <si>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</si>
  <si>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</si>
  <si>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</si>
  <si>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</si>
  <si>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</si>
  <si>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</si>
  <si>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</si>
  <si>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</si>
  <si>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</si>
  <si>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</si>
  <si>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</si>
  <si>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</si>
  <si>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</si>
  <si>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</si>
  <si>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</si>
  <si>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</si>
  <si>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</si>
  <si>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</si>
  <si>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</si>
  <si>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</si>
  <si>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</si>
  <si>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</si>
  <si>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</si>
  <si>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</si>
  <si>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</si>
  <si>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</si>
  <si>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</si>
  <si>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</si>
  <si>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</si>
  <si>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</si>
  <si>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</si>
  <si>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</si>
  <si>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</si>
  <si>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</si>
  <si>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</si>
  <si>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</si>
  <si>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</si>
  <si>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</si>
  <si>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</si>
  <si>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</si>
  <si>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</si>
  <si>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</si>
  <si>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</si>
  <si>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</si>
  <si>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</si>
  <si>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</si>
  <si>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</si>
  <si>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</si>
  <si>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</si>
  <si>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</si>
  <si>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</si>
  <si>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</si>
  <si>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</si>
  <si>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</si>
  <si>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</si>
  <si>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</si>
  <si>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</si>
  <si>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</si>
  <si>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</si>
  <si>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</si>
  <si>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</si>
  <si>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</si>
  <si>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</si>
  <si>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</si>
  <si>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</si>
  <si>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</si>
  <si>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</si>
  <si>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</si>
  <si>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</si>
  <si>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</si>
  <si>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</si>
  <si>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</si>
  <si>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</si>
  <si>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</si>
  <si>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</si>
  <si>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</si>
  <si>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</si>
  <si>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</si>
  <si>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</si>
  <si>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</si>
  <si>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</si>
  <si>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</si>
  <si>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</si>
  <si>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</si>
  <si>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</si>
  <si>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</si>
  <si>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</si>
  <si>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</si>
  <si>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</si>
  <si>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</si>
  <si>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</si>
  <si>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</si>
  <si>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</si>
  <si>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</si>
  <si>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</si>
  <si>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</si>
  <si>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</si>
  <si>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</si>
  <si>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</si>
  <si>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</si>
  <si>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</si>
  <si>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</si>
  <si>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</si>
  <si>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</si>
  <si>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</si>
  <si>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</si>
  <si>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</si>
  <si>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</si>
  <si>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</si>
  <si>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</si>
  <si>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</si>
  <si>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</si>
  <si>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</si>
  <si>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</si>
  <si>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</si>
  <si>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</si>
  <si>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</si>
  <si>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</si>
  <si>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</si>
  <si>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</si>
  <si>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</si>
  <si>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</si>
  <si>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</si>
  <si>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</si>
  <si>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</si>
  <si>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</si>
  <si>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</si>
  <si>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</si>
  <si>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</si>
  <si>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</si>
  <si>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</si>
  <si>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</si>
  <si>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</si>
  <si>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</si>
  <si>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</si>
  <si>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</si>
  <si>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</si>
  <si>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</si>
  <si>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</si>
  <si>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</si>
  <si>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</si>
  <si>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</si>
  <si>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</si>
  <si>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</si>
  <si>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</si>
  <si>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</si>
  <si>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</si>
  <si>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</si>
  <si>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</si>
  <si>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</si>
  <si>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</si>
  <si>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</si>
  <si>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</si>
  <si>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</si>
  <si>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</si>
  <si>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</si>
  <si>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</si>
  <si>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</si>
  <si>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</si>
  <si>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</si>
  <si>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</si>
  <si>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</si>
  <si>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</si>
  <si>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</si>
  <si>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</si>
  <si>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</si>
  <si>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</si>
  <si>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</si>
  <si>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</si>
  <si>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</si>
  <si>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</si>
  <si>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</si>
  <si>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</si>
  <si>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</si>
  <si>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</si>
  <si>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</si>
  <si>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</si>
  <si>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</si>
  <si>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</si>
  <si>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</si>
  <si>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</si>
  <si>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</si>
  <si>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</si>
  <si>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</si>
  <si>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</si>
  <si>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</si>
  <si>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</si>
  <si>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</si>
  <si>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</si>
  <si>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</si>
  <si>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</si>
  <si>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</si>
  <si>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</si>
  <si>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</si>
  <si>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</si>
  <si>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</si>
  <si>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</si>
  <si>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</si>
  <si>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</si>
  <si>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</si>
  <si>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</si>
  <si>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</si>
  <si>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</si>
  <si>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</si>
  <si>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</si>
  <si>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</si>
  <si>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</si>
  <si>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</si>
  <si>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</si>
  <si>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</si>
  <si>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</si>
  <si>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</si>
  <si>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</si>
  <si>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</si>
  <si>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</si>
  <si>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</si>
  <si>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</si>
  <si>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</si>
  <si>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</si>
  <si>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</si>
  <si>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</si>
  <si>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</si>
  <si>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</si>
  <si>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</si>
  <si>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</si>
  <si>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</si>
  <si>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</si>
  <si>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</si>
  <si>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</si>
  <si>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</si>
  <si>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</si>
  <si>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</si>
  <si>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</si>
  <si>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</si>
  <si>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</si>
  <si>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</si>
  <si>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</si>
  <si>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</si>
  <si>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</si>
  <si>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</si>
  <si>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</si>
  <si>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</si>
  <si>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</si>
  <si>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</si>
  <si>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</si>
  <si>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</si>
  <si>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</si>
  <si>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</si>
  <si>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</si>
  <si>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</si>
  <si>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</si>
  <si>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</si>
  <si>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</si>
  <si>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</si>
  <si>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</si>
  <si>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</si>
  <si>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</si>
  <si>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</si>
  <si>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</si>
  <si>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</si>
  <si>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</si>
  <si>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</si>
  <si>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</si>
  <si>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</si>
  <si>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</si>
  <si>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</si>
  <si>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</si>
  <si>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</si>
  <si>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</si>
  <si>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</si>
  <si>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</si>
  <si>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</si>
  <si>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</si>
  <si>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</si>
  <si>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</si>
  <si>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</si>
  <si>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</si>
  <si>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</si>
  <si>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</si>
  <si>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</si>
  <si>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</si>
  <si>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</si>
  <si>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</si>
  <si>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</si>
  <si>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</si>
  <si>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</si>
  <si>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</si>
  <si>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</si>
  <si>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</si>
  <si>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</si>
  <si>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</si>
  <si>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</si>
  <si>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</si>
  <si>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</si>
  <si>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</si>
  <si>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</si>
  <si>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</si>
  <si>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</si>
  <si>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</si>
  <si>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</si>
  <si>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</si>
  <si>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</si>
  <si>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</si>
  <si>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</si>
  <si>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</si>
  <si>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</si>
  <si>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</si>
  <si>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</si>
  <si>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</si>
  <si>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</si>
  <si>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</si>
  <si>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</si>
  <si>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</si>
  <si>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</si>
  <si>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</si>
  <si>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</si>
  <si>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</si>
  <si>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</si>
  <si>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</si>
  <si>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</si>
  <si>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</si>
  <si>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</si>
  <si>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</si>
  <si>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</si>
  <si>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</si>
  <si>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</si>
  <si>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</si>
  <si>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</si>
  <si>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</si>
  <si>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</si>
  <si>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</si>
  <si>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</si>
  <si>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</si>
  <si>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</si>
  <si>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</si>
  <si>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</si>
  <si>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</si>
  <si>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</si>
  <si>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</si>
  <si>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</si>
  <si>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</si>
  <si>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</si>
  <si>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</si>
  <si>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</si>
  <si>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</si>
  <si>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</si>
  <si>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</si>
  <si>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</si>
  <si>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</si>
  <si>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</si>
  <si>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</si>
  <si>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</si>
  <si>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</si>
  <si>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</si>
  <si>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</si>
  <si>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</si>
  <si>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</si>
  <si>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</si>
  <si>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</si>
  <si>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</si>
  <si>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</si>
  <si>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</si>
  <si>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</si>
  <si>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</si>
  <si>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</si>
  <si>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</si>
  <si>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</si>
  <si>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</si>
  <si>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</si>
  <si>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</si>
  <si>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</si>
  <si>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</si>
  <si>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</si>
  <si>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</si>
  <si>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</si>
  <si>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</si>
  <si>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</si>
  <si>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</si>
  <si>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</si>
  <si>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</si>
  <si>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</si>
  <si>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</si>
  <si>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</si>
  <si>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</si>
  <si>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</si>
  <si>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</si>
  <si>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</si>
  <si>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</si>
  <si>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</si>
  <si>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</si>
  <si>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</si>
  <si>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</si>
  <si>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</si>
  <si>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</si>
  <si>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</si>
  <si>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</si>
  <si>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</si>
  <si>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</si>
  <si>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</si>
  <si>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</si>
  <si>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</si>
  <si>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</si>
  <si>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</si>
  <si>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</si>
  <si>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</si>
  <si>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</si>
  <si>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</si>
  <si>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</si>
  <si>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</si>
  <si>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</si>
  <si>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</si>
  <si>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</si>
  <si>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</si>
  <si>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</si>
  <si>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</si>
  <si>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</si>
  <si>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</si>
  <si>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</si>
  <si>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</si>
  <si>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</si>
  <si>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</si>
  <si>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</si>
  <si>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</si>
  <si>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</si>
  <si>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</si>
  <si>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</si>
  <si>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</si>
  <si>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</si>
  <si>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</si>
  <si>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</si>
  <si>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</si>
  <si>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</si>
  <si>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</si>
  <si>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</si>
  <si>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</si>
  <si>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</si>
  <si>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</si>
  <si>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</si>
  <si>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</si>
  <si>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</si>
  <si>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</si>
  <si>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</si>
  <si>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</si>
  <si>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</si>
  <si>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</si>
  <si>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</si>
  <si>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</si>
  <si>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</si>
  <si>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</si>
  <si>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</si>
  <si>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</si>
  <si>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</si>
  <si>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</si>
  <si>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</si>
  <si>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</si>
  <si>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</si>
  <si>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</si>
  <si>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</si>
  <si>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</si>
  <si>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</si>
  <si>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</si>
  <si>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</si>
  <si>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</si>
  <si>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</si>
  <si>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</si>
  <si>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</si>
  <si>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</si>
  <si>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</si>
  <si>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</si>
  <si>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</si>
  <si>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</si>
  <si>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</si>
  <si>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</si>
  <si>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</si>
  <si>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</si>
  <si>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</si>
  <si>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</si>
  <si>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</si>
  <si>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</si>
  <si>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</si>
  <si>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</si>
  <si>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</si>
  <si>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</si>
  <si>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</si>
  <si>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</si>
  <si>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</si>
  <si>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</si>
  <si>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</si>
  <si>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</si>
  <si>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</si>
  <si>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</si>
  <si>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</si>
  <si>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</si>
  <si>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</si>
  <si>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</si>
  <si>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</si>
  <si>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</si>
  <si>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</si>
  <si>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</si>
  <si>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</si>
  <si>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</si>
  <si>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</si>
  <si>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</si>
  <si>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</si>
  <si>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</si>
  <si>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</si>
  <si>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</si>
  <si>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</si>
  <si>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</si>
  <si>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</si>
  <si>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</si>
  <si>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</si>
  <si>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</si>
  <si>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</si>
  <si>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</si>
  <si>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</si>
  <si>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</si>
  <si>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</si>
  <si>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</si>
  <si>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</si>
  <si>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</si>
  <si>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</si>
  <si>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</si>
  <si>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</si>
  <si>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</si>
  <si>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</si>
  <si>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</si>
  <si>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</si>
  <si>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</si>
  <si>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</si>
  <si>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</si>
  <si>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</si>
  <si>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</si>
  <si>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</si>
  <si>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</si>
  <si>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</si>
  <si>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</si>
  <si>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</si>
  <si>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</si>
  <si>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</si>
  <si>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</si>
  <si>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</si>
  <si>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</si>
  <si>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</si>
  <si>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</si>
  <si>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</si>
  <si>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</si>
  <si>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</si>
  <si>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</si>
  <si>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</si>
  <si>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</si>
  <si>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</si>
  <si>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</si>
  <si>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</si>
  <si>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</si>
  <si>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</si>
  <si>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</si>
  <si>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</si>
  <si>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</si>
  <si>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</si>
  <si>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</si>
  <si>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</si>
  <si>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</si>
  <si>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</si>
  <si>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</si>
  <si>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</si>
  <si>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</si>
  <si>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</si>
  <si>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</si>
  <si>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</si>
  <si>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</si>
  <si>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</si>
  <si>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</si>
  <si>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</si>
  <si>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</si>
  <si>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</si>
  <si>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</si>
  <si>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</si>
  <si>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</si>
  <si>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</si>
  <si>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</si>
  <si>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</si>
  <si>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</si>
  <si>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</si>
  <si>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</si>
  <si>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</si>
  <si>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</si>
  <si>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</si>
  <si>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</si>
  <si>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</si>
  <si>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</si>
  <si>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</si>
  <si>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</si>
  <si>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</si>
  <si>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</si>
  <si>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</si>
  <si>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</si>
  <si>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</si>
  <si>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</si>
  <si>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</si>
  <si>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</si>
  <si>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</si>
  <si>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</si>
  <si>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</si>
  <si>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</si>
  <si>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</si>
  <si>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</si>
  <si>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</si>
  <si>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</si>
  <si>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</si>
  <si>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</si>
  <si>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</si>
  <si>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</si>
  <si>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</si>
  <si>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</si>
  <si>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</si>
  <si>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</si>
  <si>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</si>
  <si>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</si>
  <si>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</si>
  <si>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</si>
  <si>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</si>
  <si>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</si>
  <si>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</si>
  <si>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</si>
  <si>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</si>
  <si>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</si>
  <si>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</si>
  <si>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</si>
  <si>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</si>
  <si>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</si>
  <si>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</si>
  <si>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</si>
  <si>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</si>
  <si>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</si>
  <si>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</si>
  <si>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</si>
  <si>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</si>
  <si>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</si>
  <si>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</si>
  <si>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</si>
  <si>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</si>
  <si>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</si>
  <si>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</si>
  <si>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</si>
  <si>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</si>
  <si>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</si>
  <si>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</si>
  <si>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</si>
  <si>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</si>
  <si>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</si>
  <si>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</si>
  <si>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</si>
  <si>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</si>
  <si>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</si>
  <si>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</si>
  <si>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</si>
  <si>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</si>
  <si>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</si>
  <si>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</si>
  <si>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</si>
  <si>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</si>
  <si>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</si>
  <si>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</si>
  <si>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</si>
  <si>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</si>
  <si>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</si>
  <si>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</si>
  <si>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</si>
  <si>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</si>
  <si>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</si>
  <si>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</si>
  <si>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</si>
  <si>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</si>
  <si>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</si>
  <si>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</si>
  <si>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</si>
  <si>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</si>
  <si>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</si>
  <si>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</si>
  <si>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</si>
  <si>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</si>
  <si>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</si>
  <si>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</si>
  <si>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</si>
  <si>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</si>
  <si>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</si>
  <si>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</si>
  <si>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</si>
  <si>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</si>
  <si>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</si>
  <si>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</si>
  <si>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</si>
  <si>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</si>
  <si>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</si>
  <si>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</si>
  <si>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</si>
  <si>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</si>
  <si>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</si>
  <si>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</si>
  <si>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</si>
  <si>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</si>
  <si>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</si>
  <si>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</si>
  <si>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</si>
  <si>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</si>
  <si>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</si>
  <si>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</si>
  <si>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</si>
  <si>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</si>
  <si>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</si>
  <si>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</si>
  <si>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</si>
  <si>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</si>
  <si>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</si>
  <si>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</si>
  <si>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</si>
  <si>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</si>
  <si>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</si>
  <si>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</si>
  <si>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</si>
  <si>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</si>
  <si>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</si>
  <si>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</si>
  <si>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</si>
  <si>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</si>
  <si>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</si>
  <si>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</si>
  <si>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</si>
  <si>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</si>
  <si>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</si>
  <si>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</si>
  <si>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</si>
  <si>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</si>
  <si>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</si>
  <si>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</si>
  <si>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</si>
  <si>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</si>
  <si>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</si>
  <si>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</si>
  <si>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</si>
  <si>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</si>
  <si>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</si>
  <si>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</si>
  <si>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</si>
  <si>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</si>
  <si>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</si>
  <si>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</si>
  <si>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</si>
  <si>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</si>
  <si>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</si>
  <si>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</si>
  <si>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</si>
  <si>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</si>
  <si>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</si>
  <si>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</si>
  <si>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</si>
  <si>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</si>
  <si>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</si>
  <si>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</si>
  <si>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</si>
  <si>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</si>
  <si>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</si>
  <si>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</si>
  <si>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</si>
  <si>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</si>
  <si>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</si>
  <si>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</si>
  <si>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</si>
  <si>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</si>
  <si>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</si>
  <si>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</si>
  <si>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</si>
  <si>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</si>
  <si>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</si>
  <si>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</si>
  <si>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</si>
  <si>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</si>
  <si>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</si>
  <si>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</si>
  <si>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</si>
  <si>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</si>
  <si>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</si>
  <si>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</si>
  <si>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</si>
  <si>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</si>
  <si>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</si>
  <si>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</si>
  <si>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</si>
  <si>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</si>
  <si>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</si>
  <si>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</si>
  <si>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</si>
  <si>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</si>
  <si>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</si>
  <si>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</si>
  <si>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</si>
  <si>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</si>
  <si>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</si>
  <si>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</si>
  <si>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</si>
  <si>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</si>
  <si>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</si>
  <si>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</si>
  <si>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</si>
  <si>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</si>
  <si>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</si>
  <si>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</si>
  <si>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</si>
  <si>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</si>
  <si>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</si>
  <si>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</si>
  <si>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</si>
  <si>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</si>
  <si>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</si>
  <si>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</si>
  <si>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</si>
  <si>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</si>
  <si>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</si>
  <si>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</si>
  <si>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</si>
  <si>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</si>
  <si>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</si>
  <si>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</si>
  <si>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</si>
  <si>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</si>
  <si>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</si>
  <si>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</si>
  <si>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</si>
  <si>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</si>
  <si>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</si>
  <si>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</si>
  <si>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</si>
  <si>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</si>
  <si>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</si>
  <si>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</si>
  <si>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</si>
  <si>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</si>
  <si>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</si>
  <si>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</si>
  <si>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</si>
  <si>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</si>
  <si>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</si>
  <si>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</si>
  <si>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</si>
  <si>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</si>
  <si>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</si>
  <si>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</si>
  <si>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</si>
  <si>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</si>
  <si>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</si>
  <si>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</si>
  <si>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</si>
  <si>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</si>
  <si>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</si>
  <si>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</si>
  <si>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</si>
  <si>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</si>
  <si>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</si>
  <si>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</si>
  <si>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</si>
  <si>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</si>
  <si>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</si>
  <si>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</si>
  <si>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</si>
  <si>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</si>
  <si>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</si>
  <si>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</si>
  <si>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</si>
  <si>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</si>
  <si>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</si>
  <si>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</si>
  <si>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</si>
  <si>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</si>
  <si>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</si>
  <si>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</si>
  <si>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</si>
  <si>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</si>
  <si>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</si>
  <si>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</si>
  <si>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</si>
  <si>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</si>
  <si>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</si>
  <si>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</si>
  <si>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</si>
  <si>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</si>
  <si>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</si>
  <si>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</si>
  <si>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</si>
  <si>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</si>
  <si>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</si>
  <si>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</si>
  <si>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</si>
  <si>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</si>
  <si>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</si>
  <si>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</si>
  <si>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</si>
  <si>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</si>
  <si>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</si>
  <si>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</si>
  <si>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</si>
  <si>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</si>
  <si>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</si>
  <si>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</si>
  <si>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</si>
  <si>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</si>
  <si>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</si>
  <si>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</si>
  <si>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</si>
  <si>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</si>
  <si>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</si>
  <si>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</si>
  <si>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</si>
  <si>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</si>
  <si>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</si>
  <si>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</si>
  <si>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</si>
  <si>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</si>
  <si>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</si>
  <si>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</si>
  <si>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</si>
  <si>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</si>
  <si>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</si>
  <si>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</si>
  <si>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</si>
  <si>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</si>
  <si>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</si>
  <si>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</si>
  <si>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</si>
  <si>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</si>
  <si>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</si>
  <si>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</si>
  <si>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</si>
  <si>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</si>
  <si>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</si>
  <si>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</si>
  <si>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</si>
  <si>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</si>
  <si>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</si>
  <si>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</si>
  <si>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</si>
  <si>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</si>
  <si>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</si>
  <si>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</si>
  <si>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</si>
  <si>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</si>
  <si>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</si>
  <si>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</si>
  <si>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</si>
  <si>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</si>
  <si>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</si>
  <si>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</si>
  <si>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</si>
  <si>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</si>
  <si>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</si>
  <si>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</si>
  <si>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</si>
  <si>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</si>
  <si>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</si>
  <si>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</si>
  <si>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</si>
  <si>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</si>
  <si>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</si>
  <si>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</si>
  <si>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</si>
  <si>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</si>
  <si>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</si>
  <si>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</si>
  <si>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</si>
  <si>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</si>
  <si>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</si>
  <si>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</si>
  <si>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</si>
  <si>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</si>
  <si>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</si>
  <si>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</si>
  <si>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</si>
  <si>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</si>
  <si>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</si>
  <si>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</si>
  <si>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</si>
  <si>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</si>
  <si>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</si>
  <si>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</si>
  <si>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</si>
  <si>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</si>
  <si>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</si>
  <si>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</si>
  <si>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</si>
  <si>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</si>
  <si>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</si>
  <si>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</si>
  <si>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</si>
  <si>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</si>
  <si>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</si>
  <si>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</si>
  <si>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</si>
  <si>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</si>
  <si>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</si>
  <si>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</si>
  <si>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</si>
  <si>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</si>
  <si>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</si>
  <si>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</si>
  <si>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</si>
  <si>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</si>
  <si>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</si>
  <si>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</si>
  <si>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</si>
  <si>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</si>
  <si>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</si>
  <si>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</si>
  <si>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</si>
  <si>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</si>
  <si>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</si>
  <si>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</si>
  <si>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</si>
  <si>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</si>
  <si>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</si>
  <si>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</si>
  <si>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</si>
  <si>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</si>
  <si>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</si>
  <si>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</si>
  <si>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</si>
  <si>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</si>
  <si>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</si>
  <si>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</si>
  <si>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</si>
  <si>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</si>
  <si>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</si>
  <si>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</si>
  <si>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</si>
  <si>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</si>
  <si>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</si>
  <si>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</si>
  <si>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</si>
  <si>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</si>
  <si>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</si>
  <si>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</si>
  <si>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</si>
  <si>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</si>
  <si>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</si>
  <si>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</si>
  <si>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</si>
  <si>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</si>
  <si>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</si>
  <si>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</si>
  <si>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</si>
  <si>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</si>
  <si>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</si>
  <si>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</si>
  <si>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</si>
  <si>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</si>
  <si>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</si>
  <si>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</si>
  <si>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</si>
  <si>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</si>
  <si>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</si>
  <si>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</si>
  <si>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</si>
  <si>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</si>
  <si>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</si>
  <si>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</si>
  <si>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</si>
  <si>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</si>
  <si>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</si>
  <si>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</si>
  <si>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</si>
  <si>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</si>
  <si>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</si>
  <si>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</si>
  <si>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</si>
  <si>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</si>
  <si>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</si>
  <si>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</si>
  <si>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</si>
  <si>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</si>
  <si>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</si>
  <si>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</si>
  <si>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</si>
  <si>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</si>
  <si>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</si>
  <si>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</si>
  <si>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</si>
  <si>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</si>
  <si>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</si>
  <si>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</si>
  <si>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</si>
  <si>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</si>
  <si>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</si>
  <si>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</si>
  <si>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</si>
  <si>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</si>
  <si>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</si>
  <si>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</si>
  <si>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</si>
  <si>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</si>
  <si>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</si>
  <si>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</si>
  <si>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</si>
  <si>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</si>
  <si>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</si>
  <si>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</si>
  <si>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</si>
  <si>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</si>
  <si>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</si>
  <si>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</si>
  <si>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</si>
  <si>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</si>
  <si>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</si>
  <si>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</si>
  <si>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</si>
  <si>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</si>
  <si>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</si>
  <si>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</si>
  <si>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</si>
  <si>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</si>
  <si>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</si>
  <si>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</si>
  <si>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</si>
  <si>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</si>
  <si>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</si>
  <si>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</si>
  <si>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</si>
  <si>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</si>
  <si>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</si>
  <si>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</si>
  <si>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</si>
  <si>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</si>
  <si>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</si>
  <si>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</si>
  <si>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</si>
  <si>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</si>
  <si>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</si>
  <si>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</si>
  <si>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</si>
  <si>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</si>
  <si>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</si>
  <si>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</si>
  <si>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</si>
  <si>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</si>
  <si>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</si>
  <si>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</si>
  <si>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</si>
  <si>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</si>
  <si>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</si>
  <si>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</si>
  <si>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</si>
  <si>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</si>
  <si>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</si>
  <si>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</si>
  <si>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</si>
  <si>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</si>
  <si>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</si>
  <si>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</si>
  <si>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</si>
  <si>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</si>
  <si>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</si>
  <si>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</si>
  <si>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</si>
  <si>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</si>
  <si>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</si>
  <si>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</si>
  <si>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</si>
  <si>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</si>
  <si>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</si>
  <si>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</si>
  <si>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</si>
  <si>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</si>
  <si>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</si>
  <si>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</si>
  <si>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</si>
  <si>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</si>
  <si>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</si>
  <si>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</si>
  <si>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</si>
  <si>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</si>
  <si>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</si>
  <si>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</si>
  <si>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</si>
  <si>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</si>
  <si>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</si>
  <si>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</si>
  <si>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</si>
  <si>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</si>
  <si>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</si>
  <si>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</si>
  <si>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</si>
  <si>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</si>
  <si>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</si>
  <si>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</si>
  <si>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</si>
  <si>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</si>
  <si>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</si>
  <si>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</si>
  <si>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</si>
  <si>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</si>
  <si>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</si>
  <si>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</si>
  <si>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</si>
  <si>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</si>
  <si>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</si>
  <si>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</si>
  <si>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</si>
  <si>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</si>
  <si>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</si>
  <si>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</si>
  <si>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</si>
  <si>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</si>
  <si>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</si>
  <si>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</si>
  <si>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</si>
  <si>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</si>
  <si>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</si>
  <si>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</si>
  <si>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</si>
  <si>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</si>
  <si>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</si>
  <si>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</si>
  <si>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</si>
  <si>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</si>
  <si>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</si>
  <si>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</si>
  <si>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</si>
  <si>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</si>
  <si>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</si>
  <si>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</si>
  <si>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</si>
  <si>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</si>
  <si>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</si>
  <si>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</si>
  <si>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</si>
  <si>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</si>
  <si>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</si>
  <si>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</si>
  <si>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</si>
  <si>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</si>
  <si>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</si>
  <si>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</si>
  <si>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</si>
  <si>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</si>
  <si>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</si>
  <si>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</si>
  <si>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</si>
  <si>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</si>
  <si>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</si>
  <si>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</si>
  <si>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</si>
  <si>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</si>
  <si>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</si>
  <si>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</si>
  <si>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</si>
  <si>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</si>
  <si>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</si>
  <si>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</si>
  <si>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</si>
  <si>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</si>
  <si>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</si>
  <si>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</si>
  <si>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</si>
  <si>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</si>
  <si>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</si>
  <si>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</si>
  <si>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</si>
  <si>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</si>
  <si>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</si>
  <si>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</si>
  <si>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</si>
  <si>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</si>
  <si>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</si>
  <si>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</si>
  <si>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</si>
  <si>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</si>
  <si>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</si>
  <si>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</si>
  <si>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</si>
  <si>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</si>
  <si>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</si>
  <si>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</si>
  <si>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</si>
  <si>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</si>
  <si>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</si>
  <si>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</si>
  <si>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</si>
  <si>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</si>
  <si>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</si>
  <si>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</si>
  <si>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</si>
  <si>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</si>
  <si>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</si>
  <si>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</si>
  <si>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</si>
  <si>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</si>
  <si>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</si>
  <si>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</si>
  <si>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</si>
  <si>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</si>
  <si>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</si>
  <si>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</si>
  <si>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</si>
  <si>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</si>
  <si>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</si>
  <si>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</si>
  <si>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</si>
  <si>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</si>
  <si>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</si>
  <si>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</si>
  <si>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</si>
  <si>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</si>
  <si>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</si>
  <si>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</si>
  <si>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</si>
  <si>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</si>
  <si>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</si>
  <si>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</si>
  <si>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</si>
  <si>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</si>
  <si>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</si>
  <si>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</si>
  <si>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</si>
  <si>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</si>
  <si>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</si>
  <si>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</si>
  <si>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</si>
  <si>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</si>
  <si>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</si>
  <si>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</si>
  <si>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</si>
  <si>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</si>
  <si>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</si>
  <si>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</si>
  <si>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</si>
  <si>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</si>
  <si>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</si>
  <si>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</si>
  <si>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</si>
  <si>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</si>
  <si>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</si>
  <si>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</si>
  <si>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</si>
  <si>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</si>
  <si>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</si>
  <si>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</si>
  <si>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</si>
  <si>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</si>
  <si>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</si>
  <si>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</si>
  <si>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</si>
  <si>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</si>
  <si>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</si>
  <si>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</si>
  <si>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</si>
  <si>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</si>
  <si>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</si>
  <si>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</si>
  <si>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</si>
  <si>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</si>
  <si>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</si>
  <si>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</si>
  <si>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</si>
  <si>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</si>
  <si>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</si>
  <si>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</si>
  <si>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</si>
  <si>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</si>
  <si>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</si>
  <si>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</si>
  <si>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</si>
  <si>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</si>
  <si>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</si>
  <si>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</si>
  <si>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</si>
  <si>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</si>
  <si>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</si>
  <si>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</si>
  <si>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</si>
  <si>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</si>
  <si>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</si>
  <si>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</si>
  <si>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</si>
  <si>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</si>
  <si>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</si>
  <si>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</si>
  <si>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</si>
  <si>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</si>
  <si>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</si>
  <si>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</si>
  <si>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</si>
  <si>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</si>
  <si>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</si>
  <si>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</si>
  <si>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</si>
  <si>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</si>
  <si>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</si>
  <si>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</si>
  <si>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</si>
  <si>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</si>
  <si>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</si>
  <si>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</si>
  <si>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</si>
  <si>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</si>
  <si>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</si>
  <si>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</si>
  <si>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</si>
  <si>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</si>
  <si>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</si>
  <si>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</si>
  <si>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</si>
  <si>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</si>
  <si>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</si>
  <si>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</si>
  <si>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</si>
  <si>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</si>
  <si>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</si>
  <si>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</si>
  <si>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</si>
  <si>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</si>
  <si>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</si>
  <si>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</si>
  <si>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</si>
  <si>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</si>
  <si>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</si>
  <si>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</si>
  <si>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</si>
  <si>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</si>
  <si>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</si>
  <si>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</si>
  <si>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</si>
  <si>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</si>
  <si>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</si>
  <si>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</si>
  <si>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</si>
  <si>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</si>
  <si>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</si>
  <si>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</si>
  <si>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</si>
  <si>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</si>
  <si>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</si>
  <si>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</si>
  <si>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</si>
  <si>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</si>
  <si>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</si>
  <si>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</si>
  <si>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</si>
  <si>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</si>
  <si>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</si>
  <si>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</si>
  <si>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</si>
  <si>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</si>
  <si>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</si>
  <si>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</si>
  <si>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</si>
  <si>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</si>
  <si>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</si>
  <si>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</si>
  <si>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</si>
  <si>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</si>
  <si>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</si>
  <si>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</si>
  <si>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</si>
  <si>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</si>
  <si>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</si>
  <si>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</si>
  <si>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</si>
  <si>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</si>
  <si>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</si>
  <si>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</si>
  <si>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</si>
  <si>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</si>
  <si>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</si>
  <si>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</si>
  <si>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</si>
  <si>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</si>
  <si>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</si>
  <si>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</si>
  <si>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</si>
  <si>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</si>
  <si>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</si>
  <si>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</si>
  <si>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</si>
  <si>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</si>
  <si>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</si>
  <si>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</si>
  <si>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</si>
  <si>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</si>
  <si>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</si>
  <si>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</si>
  <si>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</si>
  <si>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</si>
  <si>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</si>
  <si>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</si>
  <si>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</si>
  <si>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</si>
  <si>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</si>
  <si>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</si>
  <si>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</si>
  <si>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</si>
  <si>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</si>
  <si>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</si>
  <si>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</si>
  <si>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</si>
  <si>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</si>
  <si>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</si>
  <si>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</si>
  <si>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</si>
  <si>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</si>
  <si>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</si>
  <si>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</si>
  <si>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</si>
  <si>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</si>
  <si>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</si>
  <si>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</si>
  <si>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</si>
  <si>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</si>
  <si>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</si>
  <si>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</si>
  <si>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</si>
  <si>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</si>
  <si>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</si>
  <si>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</si>
  <si>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</si>
  <si>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</si>
  <si>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</si>
  <si>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</si>
  <si>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</si>
  <si>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</si>
  <si>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</si>
  <si>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</si>
  <si>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</si>
  <si>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</si>
  <si>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</si>
  <si>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</si>
  <si>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</si>
  <si>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</si>
  <si>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</si>
  <si>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</si>
  <si>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</si>
  <si>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</si>
  <si>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</si>
  <si>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</si>
  <si>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</si>
  <si>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</si>
  <si>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</si>
  <si>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</si>
  <si>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</si>
  <si>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</si>
  <si>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</si>
  <si>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</si>
  <si>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</si>
  <si>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</si>
  <si>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</si>
  <si>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</si>
  <si>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</si>
  <si>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</si>
  <si>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</si>
  <si>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</si>
  <si>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</si>
  <si>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</si>
  <si>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</si>
  <si>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</si>
  <si>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</si>
  <si>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</si>
  <si>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</si>
  <si>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</si>
  <si>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</si>
  <si>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</si>
  <si>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</si>
  <si>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</si>
  <si>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</si>
  <si>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</si>
  <si>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</si>
  <si>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</si>
  <si>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</si>
  <si>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</si>
  <si>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</si>
  <si>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</si>
  <si>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</si>
  <si>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</si>
  <si>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</si>
  <si>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</si>
  <si>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</si>
  <si>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</si>
  <si>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</si>
  <si>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</si>
  <si>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</si>
  <si>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</si>
  <si>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</si>
  <si>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</si>
  <si>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</si>
  <si>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</si>
  <si>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</si>
  <si>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</si>
  <si>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</si>
  <si>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</si>
  <si>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</si>
  <si>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</si>
  <si>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</si>
  <si>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</si>
  <si>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</si>
  <si>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</si>
  <si>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</si>
  <si>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</si>
  <si>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</si>
  <si>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</si>
  <si>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</si>
  <si>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</si>
  <si>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</si>
  <si>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</si>
  <si>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</si>
  <si>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</si>
  <si>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</si>
  <si>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</si>
  <si>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</si>
  <si>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</si>
  <si>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</si>
  <si>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</si>
  <si>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</si>
  <si>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</si>
  <si>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</si>
  <si>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</si>
  <si>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</si>
  <si>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</si>
  <si>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</si>
  <si>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</si>
  <si>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</si>
  <si>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</si>
  <si>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</si>
  <si>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</si>
  <si>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</si>
  <si>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</si>
  <si>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</si>
  <si>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</si>
  <si>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</si>
  <si>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</si>
  <si>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</si>
  <si>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</si>
  <si>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</si>
  <si>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</si>
  <si>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</si>
  <si>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</si>
  <si>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</si>
  <si>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</si>
  <si>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</si>
  <si>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</si>
  <si>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</si>
  <si>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</si>
  <si>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</si>
  <si>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</si>
  <si>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</si>
  <si>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</si>
  <si>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</si>
  <si>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</si>
  <si>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</si>
  <si>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</si>
  <si>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</si>
  <si>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</si>
  <si>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</si>
  <si>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</si>
  <si>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</si>
  <si>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</si>
  <si>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</si>
  <si>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</si>
  <si>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</si>
  <si>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</si>
  <si>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</si>
  <si>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</si>
  <si>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</si>
  <si>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</si>
  <si>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</si>
  <si>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</si>
  <si>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</si>
  <si>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</si>
  <si>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</si>
  <si>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</si>
  <si>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</si>
  <si>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</si>
  <si>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</si>
  <si>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</si>
  <si>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</si>
  <si>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</si>
  <si>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</si>
  <si>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</si>
  <si>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</si>
  <si>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</si>
  <si>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</si>
  <si>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</si>
  <si>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</si>
  <si>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</si>
  <si>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</si>
  <si>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</si>
  <si>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</si>
  <si>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</si>
  <si>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</si>
  <si>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</si>
  <si>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</si>
  <si>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</si>
  <si>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</si>
  <si>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</si>
  <si>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</si>
  <si>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</si>
  <si>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</si>
  <si>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</si>
  <si>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</si>
  <si>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</si>
  <si>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</si>
  <si>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</si>
  <si>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</si>
  <si>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</si>
  <si>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</si>
  <si>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</si>
  <si>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</si>
  <si>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</si>
  <si>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</si>
  <si>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</si>
  <si>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</si>
  <si>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</si>
  <si>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</si>
  <si>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</si>
  <si>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</si>
  <si>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</si>
  <si>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</si>
  <si>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</si>
  <si>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</si>
  <si>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</si>
  <si>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</si>
  <si>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</si>
  <si>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</si>
  <si>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</si>
  <si>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</si>
  <si>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</si>
  <si>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</si>
  <si>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</si>
  <si>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</si>
  <si>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</si>
  <si>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</si>
  <si>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</si>
  <si>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</si>
  <si>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</si>
  <si>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</si>
  <si>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</si>
  <si>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</si>
  <si>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</si>
  <si>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</si>
  <si>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</si>
  <si>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</si>
  <si>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</si>
  <si>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</si>
  <si>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</si>
  <si>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</si>
  <si>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</si>
  <si>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</si>
  <si>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</si>
  <si>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</si>
  <si>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</si>
  <si>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</si>
  <si>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</si>
  <si>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</si>
  <si>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</si>
  <si>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</si>
  <si>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</si>
  <si>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</si>
  <si>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</si>
  <si>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</si>
  <si>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</si>
  <si>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</si>
  <si>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</si>
  <si>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</si>
  <si>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</si>
  <si>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</si>
  <si>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</si>
  <si>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</si>
  <si>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</si>
  <si>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</si>
  <si>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</si>
  <si>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</si>
  <si>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</si>
  <si>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</si>
  <si>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</si>
  <si>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</si>
  <si>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</si>
  <si>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</si>
  <si>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</si>
  <si>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</si>
  <si>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</si>
  <si>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</si>
  <si>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</si>
  <si>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</si>
  <si>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</si>
  <si>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</si>
  <si>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</si>
  <si>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</si>
  <si>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</si>
  <si>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</si>
  <si>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</si>
  <si>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</si>
  <si>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</si>
  <si>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</si>
  <si>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</si>
  <si>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</si>
  <si>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</si>
  <si>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</si>
  <si>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</si>
  <si>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</si>
  <si>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</si>
  <si>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</si>
  <si>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</si>
  <si>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</si>
  <si>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</si>
  <si>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</si>
  <si>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</si>
  <si>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</si>
  <si>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</si>
  <si>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</si>
  <si>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</si>
  <si>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</si>
  <si>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</si>
  <si>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</si>
  <si>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</si>
  <si>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</si>
  <si>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</si>
  <si>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</si>
  <si>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</si>
  <si>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</si>
  <si>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</si>
  <si>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</si>
  <si>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</si>
  <si>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</si>
  <si>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</si>
  <si>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</si>
  <si>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</si>
  <si>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</si>
  <si>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</si>
  <si>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</si>
  <si>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</si>
  <si>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</si>
  <si>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</si>
  <si>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</si>
  <si>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</si>
  <si>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</si>
  <si>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</si>
  <si>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</si>
  <si>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</si>
  <si>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</si>
  <si>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</si>
  <si>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</si>
  <si>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</si>
  <si>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</si>
  <si>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</si>
  <si>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</si>
  <si>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</si>
  <si>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</si>
  <si>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</si>
  <si>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</si>
  <si>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</si>
  <si>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</si>
  <si>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</si>
  <si>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</si>
  <si>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</si>
  <si>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</si>
  <si>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</si>
  <si>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</si>
  <si>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</si>
  <si>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</si>
  <si>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</si>
  <si>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</si>
  <si>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</si>
  <si>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</si>
  <si>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</si>
  <si>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</si>
  <si>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</si>
  <si>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</si>
  <si>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</si>
  <si>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</si>
  <si>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</si>
  <si>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</si>
  <si>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</si>
  <si>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</si>
  <si>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</si>
  <si>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</si>
  <si>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</si>
  <si>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</si>
  <si>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</si>
  <si>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</si>
  <si>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</si>
  <si>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</si>
  <si>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</si>
  <si>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</si>
  <si>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</si>
  <si>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</si>
  <si>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</si>
  <si>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</si>
  <si>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</si>
  <si>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</si>
  <si>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</si>
  <si>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</si>
  <si>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</si>
  <si>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</si>
  <si>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</si>
  <si>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</si>
  <si>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</si>
  <si>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</si>
  <si>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</si>
  <si>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</si>
  <si>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</si>
  <si>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</si>
  <si>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</si>
  <si>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</si>
  <si>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</si>
  <si>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</si>
  <si>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</si>
  <si>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</si>
  <si>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</si>
  <si>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</si>
  <si>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</si>
  <si>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</si>
  <si>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</si>
  <si>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</si>
  <si>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</si>
  <si>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</si>
  <si>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</si>
  <si>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</si>
  <si>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</si>
  <si>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</si>
  <si>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</si>
  <si>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</si>
  <si>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</si>
  <si>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</si>
  <si>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</si>
  <si>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</si>
  <si>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</si>
  <si>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</si>
  <si>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</si>
  <si>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</si>
  <si>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</si>
  <si>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</si>
  <si>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</si>
  <si>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</si>
  <si>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</si>
  <si>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</si>
  <si>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</si>
  <si>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</si>
  <si>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</si>
  <si>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</si>
  <si>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</si>
  <si>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</si>
  <si>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</si>
  <si>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</si>
  <si>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</si>
  <si>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</si>
  <si>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</si>
  <si>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</si>
  <si>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</si>
  <si>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</si>
  <si>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</si>
  <si>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</si>
  <si>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</si>
  <si>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</si>
  <si>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</si>
  <si>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</si>
  <si>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</si>
  <si>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</si>
  <si>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</si>
  <si>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</si>
  <si>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</si>
  <si>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</si>
  <si>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</si>
  <si>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</si>
  <si>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</si>
  <si>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</si>
  <si>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</si>
  <si>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</si>
  <si>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</si>
  <si>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</si>
  <si>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</si>
  <si>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</si>
  <si>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</si>
  <si>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</si>
  <si>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</si>
  <si>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</si>
  <si>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</si>
  <si>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</si>
  <si>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</si>
  <si>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</si>
  <si>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</si>
  <si>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</si>
  <si>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</si>
  <si>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</si>
  <si>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</si>
  <si>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</si>
  <si>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</si>
  <si>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</si>
  <si>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</si>
  <si>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</si>
  <si>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</si>
  <si>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</si>
  <si>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</si>
  <si>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</si>
  <si>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</si>
  <si>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</si>
  <si>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</si>
  <si>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</si>
  <si>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</si>
  <si>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</si>
  <si>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</si>
  <si>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</si>
  <si>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</si>
  <si>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</si>
  <si>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</si>
  <si>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</si>
  <si>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</si>
  <si>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</si>
  <si>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</si>
  <si>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</si>
  <si>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</si>
  <si>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</si>
  <si>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</si>
  <si>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</si>
  <si>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</si>
  <si>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</si>
  <si>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</si>
  <si>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</si>
  <si>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</si>
  <si>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</si>
  <si>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</si>
  <si>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</si>
  <si>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</si>
  <si>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</si>
  <si>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</si>
  <si>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</si>
  <si>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</si>
  <si>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</si>
  <si>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</si>
  <si>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</si>
  <si>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</si>
  <si>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</si>
  <si>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</si>
  <si>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</si>
  <si>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</si>
  <si>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</si>
  <si>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</si>
  <si>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</si>
  <si>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</si>
  <si>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</si>
  <si>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</si>
  <si>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</si>
  <si>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</si>
  <si>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</si>
  <si>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</si>
  <si>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</si>
  <si>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</si>
  <si>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</si>
  <si>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</si>
  <si>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</si>
  <si>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</si>
  <si>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</si>
  <si>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</si>
  <si>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</si>
  <si>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</si>
  <si>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</si>
  <si>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</si>
  <si>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</si>
  <si>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</si>
  <si>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</si>
  <si>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</si>
  <si>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</si>
  <si>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</si>
  <si>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</si>
  <si>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</si>
  <si>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</si>
  <si>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</si>
  <si>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</si>
  <si>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</si>
  <si>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</si>
  <si>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</si>
  <si>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</si>
  <si>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</si>
  <si>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</si>
  <si>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</si>
  <si>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</si>
  <si>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</si>
  <si>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</si>
  <si>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</si>
  <si>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</si>
  <si>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</si>
  <si>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</si>
  <si>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</si>
  <si>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</si>
  <si>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</si>
  <si>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</si>
  <si>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</si>
  <si>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</si>
  <si>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</si>
  <si>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</si>
  <si>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</si>
  <si>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</si>
  <si>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</si>
  <si>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</si>
  <si>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</si>
  <si>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</si>
  <si>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</si>
  <si>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</si>
  <si>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</si>
  <si>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</si>
  <si>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</si>
  <si>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</si>
  <si>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</si>
  <si>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</si>
  <si>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</si>
  <si>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</si>
  <si>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</si>
  <si>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</si>
  <si>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</si>
  <si>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</si>
  <si>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</si>
  <si>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</si>
  <si>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</si>
  <si>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</si>
  <si>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</si>
  <si>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</si>
  <si>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</si>
  <si>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</si>
  <si>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</si>
  <si>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</si>
  <si>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</si>
  <si>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</si>
  <si>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</si>
  <si>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</si>
  <si>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</si>
  <si>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</si>
  <si>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</si>
  <si>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</si>
  <si>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</si>
  <si>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</si>
  <si>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</si>
  <si>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</si>
  <si>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</si>
  <si>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</si>
  <si>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</si>
  <si>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</si>
  <si>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</si>
  <si>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</si>
  <si>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</si>
  <si>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</si>
  <si>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</si>
  <si>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</si>
  <si>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</si>
  <si>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</si>
  <si>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</si>
  <si>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</si>
  <si>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</si>
  <si>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</si>
  <si>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</si>
  <si>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</si>
  <si>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</si>
  <si>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</si>
  <si>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</si>
  <si>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</si>
  <si>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</si>
  <si>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</si>
  <si>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</si>
  <si>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</si>
  <si>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</si>
  <si>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</si>
  <si>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</si>
  <si>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</si>
  <si>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</si>
  <si>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</si>
  <si>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</si>
  <si>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</si>
  <si>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</si>
  <si>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</si>
  <si>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</si>
  <si>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</si>
  <si>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</si>
  <si>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</si>
  <si>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</si>
  <si>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</si>
  <si>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</si>
  <si>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</si>
  <si>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</si>
  <si>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</si>
  <si>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</si>
  <si>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</si>
  <si>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</si>
  <si>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</si>
  <si>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</si>
  <si>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</si>
  <si>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</si>
  <si>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</si>
  <si>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</si>
  <si>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</si>
  <si>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</si>
  <si>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</si>
  <si>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</si>
  <si>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</si>
  <si>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</si>
  <si>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</si>
  <si>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</si>
  <si>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</si>
  <si>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</si>
  <si>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</si>
  <si>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</si>
  <si>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</si>
  <si>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</si>
  <si>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</si>
  <si>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</si>
  <si>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</si>
  <si>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</si>
  <si>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</si>
  <si>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</si>
  <si>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</si>
  <si>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</si>
  <si>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</si>
  <si>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</si>
  <si>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</si>
  <si>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</si>
  <si>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</si>
  <si>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</si>
  <si>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</si>
  <si>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</si>
  <si>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</si>
  <si>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</si>
  <si>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</si>
  <si>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</si>
  <si>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</si>
  <si>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</si>
  <si>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</si>
  <si>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</si>
  <si>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</si>
  <si>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</si>
  <si>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</si>
  <si>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</si>
  <si>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</si>
  <si>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</si>
  <si>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</si>
  <si>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</si>
  <si>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</si>
  <si>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</si>
  <si>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</si>
  <si>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</si>
  <si>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</si>
  <si>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</si>
  <si>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</si>
  <si>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</si>
  <si>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</si>
  <si>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</si>
  <si>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</si>
  <si>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</si>
  <si>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</si>
  <si>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</si>
  <si>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</si>
  <si>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</si>
  <si>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</si>
  <si>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</si>
  <si>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</si>
  <si>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</si>
  <si>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</si>
  <si>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</si>
  <si>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</si>
  <si>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</si>
  <si>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</si>
  <si>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</si>
  <si>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</si>
  <si>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</si>
  <si>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</si>
  <si>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</si>
  <si>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</si>
  <si>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</si>
  <si>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</si>
  <si>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</si>
  <si>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</si>
  <si>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</si>
  <si>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</si>
  <si>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</si>
  <si>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</si>
  <si>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</si>
  <si>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</si>
  <si>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</si>
  <si>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</si>
  <si>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</si>
  <si>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</si>
  <si>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</si>
  <si>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</si>
  <si>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</si>
  <si>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</si>
  <si>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</si>
  <si>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</si>
  <si>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</si>
  <si>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</si>
  <si>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</si>
  <si>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</si>
  <si>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</si>
  <si>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</si>
  <si>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</si>
  <si>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</si>
  <si>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</si>
  <si>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</si>
  <si>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</si>
  <si>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</si>
  <si>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</si>
  <si>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</si>
  <si>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</si>
  <si>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</si>
  <si>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</si>
  <si>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</si>
  <si>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</si>
  <si>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</si>
  <si>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</si>
  <si>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</si>
  <si>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</si>
  <si>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</si>
  <si>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</si>
  <si>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</si>
  <si>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</si>
  <si>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</si>
  <si>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</si>
  <si>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</si>
  <si>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</si>
  <si>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</si>
  <si>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</si>
  <si>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</si>
  <si>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</si>
  <si>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</si>
  <si>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</si>
  <si>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</si>
  <si>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</si>
  <si>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</si>
  <si>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</si>
  <si>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</si>
  <si>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</si>
  <si>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</si>
  <si>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</si>
  <si>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</si>
  <si>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</si>
  <si>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</si>
  <si>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</si>
  <si>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</si>
  <si>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</si>
  <si>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</si>
  <si>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</si>
  <si>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</si>
  <si>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</si>
  <si>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</si>
  <si>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</si>
  <si>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</si>
  <si>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</si>
  <si>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</si>
  <si>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</si>
  <si>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</si>
  <si>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</si>
  <si>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</si>
  <si>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</si>
  <si>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</si>
  <si>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</si>
  <si>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</si>
  <si>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</si>
  <si>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</si>
  <si>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</si>
  <si>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</si>
  <si>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</si>
  <si>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</si>
  <si>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</si>
  <si>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</si>
  <si>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</si>
  <si>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</si>
  <si>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</si>
  <si>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</si>
  <si>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</si>
  <si>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</si>
  <si>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</si>
  <si>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</si>
  <si>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</si>
  <si>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</si>
  <si>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</si>
  <si>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</si>
  <si>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</si>
  <si>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</si>
  <si>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</si>
  <si>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</si>
  <si>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</si>
  <si>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</si>
  <si>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</si>
  <si>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</si>
  <si>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</si>
  <si>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</si>
  <si>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</si>
  <si>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</si>
  <si>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</si>
  <si>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</si>
  <si>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</si>
  <si>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</si>
  <si>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</si>
  <si>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</si>
  <si>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</si>
  <si>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</si>
  <si>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</si>
  <si>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</si>
  <si>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</si>
  <si>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</si>
  <si>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</si>
  <si>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</si>
  <si>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</si>
  <si>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</si>
  <si>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</si>
  <si>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</si>
  <si>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</si>
  <si>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</si>
  <si>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</si>
  <si>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</si>
  <si>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</si>
  <si>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</si>
  <si>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</si>
  <si>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</si>
  <si>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</si>
  <si>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</si>
  <si>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</si>
  <si>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</si>
  <si>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</si>
  <si>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</si>
  <si>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</si>
  <si>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</si>
  <si>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</si>
  <si>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</si>
  <si>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</si>
  <si>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</si>
  <si>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</si>
  <si>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</si>
  <si>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</si>
  <si>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</si>
  <si>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</si>
  <si>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</si>
  <si>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</si>
  <si>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</si>
  <si>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</si>
  <si>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</si>
  <si>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</si>
  <si>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</si>
  <si>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</si>
  <si>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</si>
  <si>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</si>
  <si>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</si>
  <si>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</si>
  <si>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</si>
  <si>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</si>
  <si>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</si>
  <si>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</si>
  <si>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</si>
  <si>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</si>
  <si>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</si>
  <si>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</si>
  <si>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</si>
  <si>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</si>
  <si>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</si>
  <si>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</si>
  <si>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</si>
  <si>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</si>
  <si>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</si>
  <si>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</si>
  <si>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</si>
  <si>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</si>
  <si>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</si>
  <si>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</si>
  <si>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</si>
  <si>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</si>
  <si>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</si>
  <si>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</si>
  <si>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</si>
  <si>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</si>
  <si>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</si>
  <si>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</si>
  <si>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</si>
  <si>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</si>
  <si>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</si>
  <si>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</si>
  <si>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</si>
  <si>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</si>
  <si>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</si>
  <si>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</si>
  <si>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</si>
  <si>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</si>
  <si>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</si>
  <si>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</si>
  <si>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</si>
  <si>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</si>
  <si>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</si>
  <si>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</si>
  <si>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</si>
  <si>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</si>
  <si>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</si>
  <si>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</si>
  <si>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</si>
  <si>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</si>
  <si>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</si>
  <si>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</si>
  <si>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</si>
  <si>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</si>
  <si>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</si>
  <si>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</si>
  <si>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</si>
  <si>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</si>
  <si>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</si>
  <si>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</si>
  <si>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</si>
  <si>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</si>
  <si>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</si>
  <si>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</si>
  <si>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</si>
  <si>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</si>
  <si>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</si>
  <si>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</si>
  <si>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</si>
  <si>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</si>
  <si>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</si>
  <si>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</si>
  <si>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</si>
  <si>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</si>
  <si>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</si>
  <si>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</si>
  <si>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</si>
  <si>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</si>
  <si>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</si>
  <si>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</si>
  <si>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</si>
  <si>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</si>
  <si>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</si>
  <si>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</si>
  <si>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</si>
  <si>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</si>
  <si>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</si>
  <si>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</si>
  <si>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</si>
  <si>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</si>
  <si>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</si>
  <si>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</si>
  <si>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</si>
  <si>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</si>
  <si>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</si>
  <si>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</si>
  <si>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</si>
  <si>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</si>
  <si>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</si>
  <si>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</si>
  <si>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</si>
  <si>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</si>
  <si>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</si>
  <si>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</si>
  <si>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</si>
  <si>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</si>
  <si>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</si>
  <si>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</si>
  <si>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</si>
  <si>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</si>
  <si>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</si>
  <si>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</si>
  <si>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</si>
  <si>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</si>
  <si>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</si>
  <si>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</si>
  <si>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</si>
  <si>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</si>
  <si>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</si>
  <si>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</si>
  <si>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</si>
  <si>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</si>
  <si>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</si>
  <si>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</si>
  <si>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</si>
  <si>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</si>
  <si>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</si>
  <si>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</si>
  <si>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</si>
  <si>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</si>
  <si>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</si>
  <si>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</si>
  <si>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</si>
  <si>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</si>
  <si>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</si>
  <si>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</si>
  <si>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</si>
  <si>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</si>
  <si>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</si>
  <si>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</si>
  <si>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</si>
  <si>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</si>
  <si>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</si>
  <si>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</si>
  <si>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</si>
  <si>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</si>
  <si>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</si>
  <si>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</si>
  <si>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</si>
  <si>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</si>
  <si>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</si>
  <si>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</si>
  <si>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</si>
  <si>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</si>
  <si>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</si>
  <si>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</si>
  <si>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</si>
  <si>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</si>
  <si>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</si>
  <si>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</si>
  <si>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</si>
  <si>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</si>
  <si>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</si>
  <si>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</si>
  <si>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</si>
  <si>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</si>
  <si>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</si>
  <si>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</si>
  <si>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</si>
  <si>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</si>
  <si>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</si>
  <si>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</si>
  <si>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</si>
  <si>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</si>
  <si>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</si>
  <si>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</si>
  <si>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</si>
  <si>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</si>
  <si>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</si>
  <si>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</si>
  <si>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</si>
  <si>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</si>
  <si>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</si>
  <si>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</si>
  <si>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</si>
  <si>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</si>
  <si>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</si>
  <si>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</si>
  <si>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</si>
  <si>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</si>
  <si>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</si>
  <si>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</si>
  <si>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</si>
  <si>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</si>
  <si>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</si>
  <si>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</si>
  <si>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</si>
  <si>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</si>
  <si>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</si>
  <si>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</si>
  <si>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</si>
  <si>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</si>
  <si>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</si>
  <si>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</si>
  <si>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</si>
  <si>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</si>
  <si>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</si>
  <si>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</si>
  <si>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</si>
  <si>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</si>
  <si>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</si>
  <si>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</si>
  <si>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</si>
  <si>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</si>
  <si>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</si>
  <si>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</si>
  <si>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</si>
  <si>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</si>
  <si>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</si>
  <si>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</si>
  <si>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</si>
  <si>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</si>
  <si>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</si>
  <si>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</si>
  <si>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</si>
  <si>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</si>
  <si>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</si>
  <si>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</si>
  <si>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</si>
  <si>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</si>
  <si>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</si>
  <si>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</si>
  <si>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</si>
  <si>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</si>
  <si>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</si>
  <si>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</si>
  <si>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</si>
  <si>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</si>
  <si>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</si>
  <si>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</si>
  <si>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</si>
  <si>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</si>
  <si>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</si>
  <si>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</si>
  <si>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</si>
  <si>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</si>
  <si>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</si>
  <si>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</si>
  <si>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</si>
  <si>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</si>
  <si>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</si>
  <si>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</si>
  <si>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</si>
  <si>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</si>
  <si>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</si>
  <si>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</si>
  <si>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</si>
  <si>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</si>
  <si>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</si>
  <si>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</si>
  <si>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</si>
  <si>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</si>
  <si>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</si>
  <si>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</si>
  <si>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</si>
  <si>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</si>
  <si>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</si>
  <si>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</si>
  <si>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</si>
  <si>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</si>
  <si>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</si>
  <si>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</si>
  <si>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</si>
  <si>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</si>
  <si>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</si>
  <si>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</si>
  <si>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</si>
  <si>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</si>
  <si>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</si>
  <si>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</si>
  <si>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</si>
  <si>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</si>
  <si>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</si>
  <si>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</si>
  <si>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</si>
  <si>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</si>
  <si>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</si>
  <si>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</si>
  <si>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</si>
  <si>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</si>
  <si>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</si>
  <si>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</si>
  <si>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</si>
  <si>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</si>
  <si>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</si>
  <si>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</si>
  <si>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</si>
  <si>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</si>
  <si>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</si>
  <si>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</si>
  <si>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</si>
  <si>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</si>
  <si>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</si>
  <si>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</si>
  <si>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</si>
  <si>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</si>
  <si>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</si>
  <si>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</si>
  <si>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</si>
  <si>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</si>
  <si>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</si>
  <si>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</si>
  <si>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</si>
  <si>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</si>
  <si>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</si>
  <si>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</si>
  <si>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</si>
  <si>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</si>
  <si>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</si>
  <si>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</si>
  <si>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</si>
  <si>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</si>
  <si>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</si>
  <si>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</si>
  <si>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</si>
  <si>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</si>
  <si>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</si>
  <si>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</si>
  <si>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</si>
  <si>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</si>
  <si>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</si>
  <si>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</si>
  <si>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</si>
  <si>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</si>
  <si>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</si>
  <si>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</si>
  <si>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</si>
  <si>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</si>
  <si>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</si>
  <si>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</si>
  <si>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</si>
  <si>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</si>
  <si>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</si>
  <si>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</si>
  <si>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</si>
  <si>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</si>
  <si>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</si>
  <si>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</si>
  <si>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</si>
  <si>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</si>
  <si>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</si>
  <si>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</si>
  <si>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</si>
  <si>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</si>
  <si>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</si>
  <si>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</si>
  <si>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</si>
  <si>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</si>
  <si>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</si>
  <si>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</si>
  <si>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</si>
  <si>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</si>
  <si>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</si>
  <si>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</si>
  <si>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</si>
  <si>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</si>
  <si>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</si>
  <si>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</si>
  <si>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</si>
  <si>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</si>
  <si>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</si>
  <si>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</si>
  <si>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</si>
  <si>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</si>
  <si>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</si>
  <si>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</si>
  <si>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</si>
  <si>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</si>
  <si>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</si>
  <si>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</si>
  <si>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</si>
  <si>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</si>
  <si>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</si>
  <si>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</si>
  <si>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</si>
  <si>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</si>
  <si>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</si>
  <si>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</si>
  <si>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</si>
  <si>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</si>
  <si>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</si>
  <si>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</si>
  <si>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</si>
  <si>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</si>
  <si>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</si>
  <si>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</si>
  <si>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</si>
  <si>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</si>
  <si>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</si>
  <si>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</si>
  <si>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</si>
  <si>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</si>
  <si>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</si>
  <si>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</si>
  <si>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</si>
  <si>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</si>
  <si>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</si>
  <si>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</si>
  <si>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</si>
  <si>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</si>
  <si>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</si>
  <si>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</si>
  <si>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</si>
  <si>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</si>
  <si>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</si>
  <si>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</si>
  <si>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</si>
  <si>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</si>
  <si>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</si>
  <si>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</si>
  <si>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</si>
  <si>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</si>
  <si>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</si>
  <si>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</si>
  <si>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</si>
  <si>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</si>
  <si>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</si>
  <si>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</si>
  <si>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</si>
  <si>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</si>
  <si>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</si>
  <si>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</si>
  <si>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</si>
  <si>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</si>
  <si>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</si>
  <si>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</si>
  <si>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</si>
  <si>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</si>
  <si>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</si>
  <si>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</si>
  <si>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</si>
  <si>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</si>
  <si>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</si>
  <si>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</si>
  <si>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</si>
  <si>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</si>
  <si>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</si>
  <si>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</si>
  <si>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</si>
  <si>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</si>
  <si>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</si>
  <si>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</si>
  <si>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</si>
  <si>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</si>
  <si>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</si>
  <si>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</si>
  <si>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</si>
  <si>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</si>
  <si>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</si>
  <si>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</si>
  <si>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</si>
  <si>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</si>
  <si>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</si>
  <si>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</si>
  <si>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</si>
  <si>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</si>
  <si>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</si>
  <si>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</si>
  <si>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</si>
  <si>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</si>
  <si>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</si>
  <si>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</si>
  <si>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</si>
  <si>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</si>
  <si>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</si>
  <si>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</si>
  <si>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</si>
  <si>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</si>
  <si>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</si>
  <si>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</si>
  <si>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</si>
  <si>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</si>
  <si>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</si>
  <si>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</si>
  <si>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</si>
  <si>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</si>
  <si>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</si>
  <si>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</si>
  <si>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</si>
  <si>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</si>
  <si>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</si>
  <si>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</si>
  <si>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</si>
  <si>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</si>
  <si>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</si>
  <si>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</si>
  <si>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</si>
  <si>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</si>
  <si>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</si>
  <si>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</si>
  <si>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</si>
  <si>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</si>
  <si>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</si>
  <si>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</si>
  <si>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</si>
  <si>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</si>
  <si>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</si>
  <si>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</si>
  <si>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</si>
  <si>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</si>
  <si>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</si>
  <si>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</si>
  <si>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</si>
  <si>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</si>
  <si>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</si>
  <si>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</si>
  <si>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</si>
  <si>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</si>
  <si>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</si>
  <si>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</si>
  <si>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</si>
  <si>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</si>
  <si>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</si>
  <si>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</si>
  <si>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</si>
  <si>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</si>
  <si>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</si>
  <si>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</si>
  <si>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</si>
  <si>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</si>
  <si>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</si>
  <si>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</si>
  <si>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</si>
  <si>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</si>
  <si>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</si>
  <si>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</si>
  <si>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</si>
  <si>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</si>
  <si>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</si>
  <si>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</si>
  <si>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</si>
  <si>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</si>
  <si>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</si>
  <si>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</si>
  <si>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</si>
  <si>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</si>
  <si>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</si>
  <si>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</si>
  <si>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</si>
  <si>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</si>
  <si>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</si>
  <si>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</si>
  <si>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</si>
  <si>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</si>
  <si>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</si>
  <si>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</si>
  <si>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</si>
  <si>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</si>
  <si>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</si>
  <si>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</si>
  <si>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</si>
  <si>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</si>
  <si>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</si>
  <si>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</si>
  <si>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</si>
  <si>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</si>
  <si>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</si>
  <si>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</si>
  <si>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</si>
  <si>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</si>
  <si>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</si>
  <si>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</si>
  <si>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</si>
  <si>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</si>
  <si>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</si>
  <si>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</si>
  <si>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</si>
  <si>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</si>
  <si>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</si>
  <si>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</si>
  <si>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</si>
  <si>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</si>
  <si>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</si>
  <si>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</si>
  <si>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</si>
  <si>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</si>
  <si>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</si>
  <si>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</si>
  <si>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</si>
  <si>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</si>
  <si>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</si>
  <si>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</si>
  <si>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</si>
  <si>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</si>
  <si>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</si>
  <si>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</si>
  <si>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</si>
  <si>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</si>
  <si>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</si>
  <si>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</si>
  <si>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</si>
  <si>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</si>
  <si>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</si>
  <si>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</si>
  <si>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</si>
  <si>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</si>
  <si>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</si>
  <si>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</si>
  <si>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</si>
  <si>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</si>
  <si>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</si>
  <si>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</si>
  <si>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</si>
  <si>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</si>
  <si>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</si>
  <si>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</si>
  <si>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</si>
  <si>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</si>
  <si>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</si>
  <si>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</si>
  <si>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</si>
  <si>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</si>
  <si>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</si>
  <si>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</si>
  <si>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</si>
  <si>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</si>
  <si>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</si>
  <si>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</si>
  <si>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</si>
  <si>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</si>
  <si>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</si>
  <si>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</si>
  <si>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</si>
  <si>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</si>
  <si>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</si>
  <si>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</si>
  <si>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</si>
  <si>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</si>
  <si>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</si>
  <si>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</si>
  <si>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</si>
  <si>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</si>
  <si>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</si>
  <si>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</si>
  <si>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</si>
  <si>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</si>
  <si>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</si>
  <si>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</si>
  <si>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</si>
  <si>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</si>
  <si>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</si>
  <si>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</si>
  <si>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</si>
  <si>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</si>
  <si>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</si>
  <si>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</si>
  <si>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</si>
  <si>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</si>
  <si>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</si>
  <si>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</si>
  <si>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</si>
  <si>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</si>
  <si>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</si>
  <si>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</si>
  <si>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</si>
  <si>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</si>
  <si>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</si>
  <si>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</si>
  <si>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</si>
  <si>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</si>
  <si>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</si>
  <si>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</si>
  <si>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</si>
  <si>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</si>
  <si>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</si>
  <si>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</si>
  <si>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</si>
  <si>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</si>
  <si>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</si>
  <si>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</si>
  <si>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</si>
  <si>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</si>
  <si>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</si>
  <si>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</si>
  <si>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</si>
  <si>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</si>
  <si>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</si>
  <si>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</si>
  <si>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</si>
  <si>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会所</t>
  </si>
  <si>
    <t>会所</t>
    <phoneticPr fontId="3" type="noConversion"/>
  </si>
  <si>
    <t>是</t>
  </si>
  <si>
    <t>地上</t>
  </si>
  <si>
    <t>地下</t>
  </si>
  <si>
    <t>成新度</t>
  </si>
  <si>
    <t>抵押</t>
  </si>
  <si>
    <t>房地产抵押价值</t>
  </si>
  <si>
    <t>北京市</t>
  </si>
  <si>
    <t>企业</t>
  </si>
  <si>
    <t>楼层</t>
    <phoneticPr fontId="3" type="noConversion"/>
  </si>
  <si>
    <t>系数</t>
    <phoneticPr fontId="3" type="noConversion"/>
  </si>
  <si>
    <t>租金</t>
  </si>
  <si>
    <t>租金</t>
    <phoneticPr fontId="3" type="noConversion"/>
  </si>
  <si>
    <t>面积</t>
    <phoneticPr fontId="3" type="noConversion"/>
  </si>
  <si>
    <t>收益法</t>
  </si>
  <si>
    <t>押一</t>
  </si>
  <si>
    <t>钢混</t>
  </si>
  <si>
    <t>非生产用房</t>
  </si>
  <si>
    <t>自定义容积率</t>
  </si>
  <si>
    <t>不临65条商业街</t>
  </si>
  <si>
    <t>楼层修正</t>
  </si>
  <si>
    <t>一般</t>
  </si>
  <si>
    <t>较好</t>
  </si>
  <si>
    <t>未包含在土地购买价格中</t>
  </si>
  <si>
    <t>全部缴纳</t>
  </si>
  <si>
    <t>已包含在土地取得成本中</t>
  </si>
  <si>
    <t>现房</t>
  </si>
  <si>
    <t>项目全部</t>
  </si>
  <si>
    <t>单套模式</t>
  </si>
  <si>
    <t>典型户型修正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</si>
</sst>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7" fillId="0" borderId="1" xfId="0" applyFont="1" applyBorder="1" applyAlignment="1" applyProtection="1">
      <alignment horizontal="center" vertical="center" wrapText="1"/>
      <protection locked="0"/>
    </xf>
    <xf numFmtId="0" fontId="77" fillId="12"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200025</xdr:colOff>
      <xdr:row>0</xdr:row>
      <xdr:rowOff>0</xdr:rowOff>
    </xdr:from>
    <xdr:to>
      <xdr:col>15</xdr:col>
      <xdr:colOff>256825</xdr:colOff>
      <xdr:row>18</xdr:row>
      <xdr:rowOff>123424</xdr:rowOff>
    </xdr:to>
    <xdr:pic>
      <xdr:nvPicPr>
        <xdr:cNvPr id="2" name="图片 1">
          <a:extLst>
            <a:ext uri="{FF2B5EF4-FFF2-40B4-BE49-F238E27FC236}">
              <a16:creationId xmlns:a16="http://schemas.microsoft.com/office/drawing/2014/main" id="{F2D123D9-C58F-BECE-EA4F-854ED15917D4}"/>
            </a:ext>
          </a:extLst>
        </xdr:cNvPr>
        <xdr:cNvPicPr>
          <a:picLocks noChangeAspect="1"/>
        </xdr:cNvPicPr>
      </xdr:nvPicPr>
      <xdr:blipFill>
        <a:blip xmlns:r="http://schemas.openxmlformats.org/officeDocument/2006/relationships" r:embed="rId1"/>
        <a:stretch>
          <a:fillRect/>
        </a:stretch>
      </xdr:blipFill>
      <xdr:spPr>
        <a:xfrm>
          <a:off x="7743825" y="0"/>
          <a:ext cx="2800000" cy="3209524"/>
        </a:xfrm>
        <a:prstGeom prst="rect">
          <a:avLst/>
        </a:prstGeom>
      </xdr:spPr>
    </xdr:pic>
    <xdr:clientData/>
  </xdr:twoCellAnchor>
  <xdr:twoCellAnchor editAs="oneCell">
    <xdr:from>
      <xdr:col>11</xdr:col>
      <xdr:colOff>123825</xdr:colOff>
      <xdr:row>19</xdr:row>
      <xdr:rowOff>28575</xdr:rowOff>
    </xdr:from>
    <xdr:to>
      <xdr:col>19</xdr:col>
      <xdr:colOff>285044</xdr:colOff>
      <xdr:row>36</xdr:row>
      <xdr:rowOff>113925</xdr:rowOff>
    </xdr:to>
    <xdr:pic>
      <xdr:nvPicPr>
        <xdr:cNvPr id="3" name="图片 2">
          <a:extLst>
            <a:ext uri="{FF2B5EF4-FFF2-40B4-BE49-F238E27FC236}">
              <a16:creationId xmlns:a16="http://schemas.microsoft.com/office/drawing/2014/main" id="{C0DFDEFB-5E7F-55C1-5C75-26C4373F68D7}"/>
            </a:ext>
          </a:extLst>
        </xdr:cNvPr>
        <xdr:cNvPicPr>
          <a:picLocks noChangeAspect="1"/>
        </xdr:cNvPicPr>
      </xdr:nvPicPr>
      <xdr:blipFill>
        <a:blip xmlns:r="http://schemas.openxmlformats.org/officeDocument/2006/relationships" r:embed="rId2"/>
        <a:stretch>
          <a:fillRect/>
        </a:stretch>
      </xdr:blipFill>
      <xdr:spPr>
        <a:xfrm>
          <a:off x="7667625" y="3286125"/>
          <a:ext cx="5647619" cy="3000000"/>
        </a:xfrm>
        <a:prstGeom prst="rect">
          <a:avLst/>
        </a:prstGeom>
      </xdr:spPr>
    </xdr:pic>
    <xdr:clientData/>
  </xdr:twoCellAnchor>
  <xdr:twoCellAnchor editAs="oneCell">
    <xdr:from>
      <xdr:col>0</xdr:col>
      <xdr:colOff>0</xdr:colOff>
      <xdr:row>33</xdr:row>
      <xdr:rowOff>90581</xdr:rowOff>
    </xdr:from>
    <xdr:to>
      <xdr:col>6</xdr:col>
      <xdr:colOff>628057</xdr:colOff>
      <xdr:row>69</xdr:row>
      <xdr:rowOff>137429</xdr:rowOff>
    </xdr:to>
    <xdr:pic>
      <xdr:nvPicPr>
        <xdr:cNvPr id="4" name="图片 3">
          <a:extLst>
            <a:ext uri="{FF2B5EF4-FFF2-40B4-BE49-F238E27FC236}">
              <a16:creationId xmlns:a16="http://schemas.microsoft.com/office/drawing/2014/main" id="{F4F8D9EE-9025-6719-6609-14DEA9701F82}"/>
            </a:ext>
          </a:extLst>
        </xdr:cNvPr>
        <xdr:cNvPicPr>
          <a:picLocks noChangeAspect="1"/>
        </xdr:cNvPicPr>
      </xdr:nvPicPr>
      <xdr:blipFill>
        <a:blip xmlns:r="http://schemas.openxmlformats.org/officeDocument/2006/relationships" r:embed="rId3"/>
        <a:stretch>
          <a:fillRect/>
        </a:stretch>
      </xdr:blipFill>
      <xdr:spPr>
        <a:xfrm rot="5400000">
          <a:off x="-738095" y="6486526"/>
          <a:ext cx="6219048" cy="4742857"/>
        </a:xfrm>
        <a:prstGeom prst="rect">
          <a:avLst/>
        </a:prstGeom>
      </xdr:spPr>
    </xdr:pic>
    <xdr:clientData/>
  </xdr:twoCellAnchor>
  <xdr:twoCellAnchor editAs="oneCell">
    <xdr:from>
      <xdr:col>0</xdr:col>
      <xdr:colOff>0</xdr:colOff>
      <xdr:row>9</xdr:row>
      <xdr:rowOff>0</xdr:rowOff>
    </xdr:from>
    <xdr:to>
      <xdr:col>10</xdr:col>
      <xdr:colOff>684857</xdr:colOff>
      <xdr:row>32</xdr:row>
      <xdr:rowOff>161412</xdr:rowOff>
    </xdr:to>
    <xdr:pic>
      <xdr:nvPicPr>
        <xdr:cNvPr id="5" name="图片 4">
          <a:extLst>
            <a:ext uri="{FF2B5EF4-FFF2-40B4-BE49-F238E27FC236}">
              <a16:creationId xmlns:a16="http://schemas.microsoft.com/office/drawing/2014/main" id="{09B452D5-0E21-F50D-A995-528C5FC530C5}"/>
            </a:ext>
          </a:extLst>
        </xdr:cNvPr>
        <xdr:cNvPicPr>
          <a:picLocks noChangeAspect="1"/>
        </xdr:cNvPicPr>
      </xdr:nvPicPr>
      <xdr:blipFill>
        <a:blip xmlns:r="http://schemas.openxmlformats.org/officeDocument/2006/relationships" r:embed="rId4"/>
        <a:stretch>
          <a:fillRect/>
        </a:stretch>
      </xdr:blipFill>
      <xdr:spPr>
        <a:xfrm>
          <a:off x="0" y="1543050"/>
          <a:ext cx="7542857" cy="4104762"/>
        </a:xfrm>
        <a:prstGeom prst="rect">
          <a:avLst/>
        </a:prstGeom>
      </xdr:spPr>
    </xdr:pic>
    <xdr:clientData/>
  </xdr:twoCellAnchor>
  <xdr:twoCellAnchor editAs="oneCell">
    <xdr:from>
      <xdr:col>0</xdr:col>
      <xdr:colOff>0</xdr:colOff>
      <xdr:row>0</xdr:row>
      <xdr:rowOff>0</xdr:rowOff>
    </xdr:from>
    <xdr:to>
      <xdr:col>7</xdr:col>
      <xdr:colOff>47019</xdr:colOff>
      <xdr:row>8</xdr:row>
      <xdr:rowOff>123638</xdr:rowOff>
    </xdr:to>
    <xdr:pic>
      <xdr:nvPicPr>
        <xdr:cNvPr id="6" name="图片 5">
          <a:extLst>
            <a:ext uri="{FF2B5EF4-FFF2-40B4-BE49-F238E27FC236}">
              <a16:creationId xmlns:a16="http://schemas.microsoft.com/office/drawing/2014/main" id="{11A6351F-3557-D650-4AAE-386E9F64FCEE}"/>
            </a:ext>
          </a:extLst>
        </xdr:cNvPr>
        <xdr:cNvPicPr>
          <a:picLocks noChangeAspect="1"/>
        </xdr:cNvPicPr>
      </xdr:nvPicPr>
      <xdr:blipFill>
        <a:blip xmlns:r="http://schemas.openxmlformats.org/officeDocument/2006/relationships" r:embed="rId5"/>
        <a:stretch>
          <a:fillRect/>
        </a:stretch>
      </xdr:blipFill>
      <xdr:spPr>
        <a:xfrm>
          <a:off x="0" y="0"/>
          <a:ext cx="4847619" cy="14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523381</xdr:colOff>
      <xdr:row>20</xdr:row>
      <xdr:rowOff>37667</xdr:rowOff>
    </xdr:to>
    <xdr:pic>
      <xdr:nvPicPr>
        <xdr:cNvPr id="2" name="图片 1">
          <a:extLst>
            <a:ext uri="{FF2B5EF4-FFF2-40B4-BE49-F238E27FC236}">
              <a16:creationId xmlns:a16="http://schemas.microsoft.com/office/drawing/2014/main" id="{EDEEBCF5-49A5-F63F-6AD1-5EEE4F92FF35}"/>
            </a:ext>
          </a:extLst>
        </xdr:cNvPr>
        <xdr:cNvPicPr>
          <a:picLocks noChangeAspect="1"/>
        </xdr:cNvPicPr>
      </xdr:nvPicPr>
      <xdr:blipFill>
        <a:blip xmlns:r="http://schemas.openxmlformats.org/officeDocument/2006/relationships" r:embed="rId1"/>
        <a:stretch>
          <a:fillRect/>
        </a:stretch>
      </xdr:blipFill>
      <xdr:spPr>
        <a:xfrm>
          <a:off x="0" y="0"/>
          <a:ext cx="3952381" cy="3466667"/>
        </a:xfrm>
        <a:prstGeom prst="rect">
          <a:avLst/>
        </a:prstGeom>
      </xdr:spPr>
    </xdr:pic>
    <xdr:clientData/>
  </xdr:twoCellAnchor>
  <xdr:twoCellAnchor editAs="oneCell">
    <xdr:from>
      <xdr:col>6</xdr:col>
      <xdr:colOff>0</xdr:colOff>
      <xdr:row>0</xdr:row>
      <xdr:rowOff>0</xdr:rowOff>
    </xdr:from>
    <xdr:to>
      <xdr:col>11</xdr:col>
      <xdr:colOff>504333</xdr:colOff>
      <xdr:row>27</xdr:row>
      <xdr:rowOff>123231</xdr:rowOff>
    </xdr:to>
    <xdr:pic>
      <xdr:nvPicPr>
        <xdr:cNvPr id="3" name="图片 2">
          <a:extLst>
            <a:ext uri="{FF2B5EF4-FFF2-40B4-BE49-F238E27FC236}">
              <a16:creationId xmlns:a16="http://schemas.microsoft.com/office/drawing/2014/main" id="{EB348BE9-8C64-F3E4-1CEC-3C6582508FDD}"/>
            </a:ext>
          </a:extLst>
        </xdr:cNvPr>
        <xdr:cNvPicPr>
          <a:picLocks noChangeAspect="1"/>
        </xdr:cNvPicPr>
      </xdr:nvPicPr>
      <xdr:blipFill>
        <a:blip xmlns:r="http://schemas.openxmlformats.org/officeDocument/2006/relationships" r:embed="rId2"/>
        <a:stretch>
          <a:fillRect/>
        </a:stretch>
      </xdr:blipFill>
      <xdr:spPr>
        <a:xfrm>
          <a:off x="4114800" y="0"/>
          <a:ext cx="3933333" cy="4752381"/>
        </a:xfrm>
        <a:prstGeom prst="rect">
          <a:avLst/>
        </a:prstGeom>
      </xdr:spPr>
    </xdr:pic>
    <xdr:clientData/>
  </xdr:twoCellAnchor>
  <xdr:twoCellAnchor editAs="oneCell">
    <xdr:from>
      <xdr:col>0</xdr:col>
      <xdr:colOff>0</xdr:colOff>
      <xdr:row>21</xdr:row>
      <xdr:rowOff>0</xdr:rowOff>
    </xdr:from>
    <xdr:to>
      <xdr:col>5</xdr:col>
      <xdr:colOff>609095</xdr:colOff>
      <xdr:row>41</xdr:row>
      <xdr:rowOff>66238</xdr:rowOff>
    </xdr:to>
    <xdr:pic>
      <xdr:nvPicPr>
        <xdr:cNvPr id="4" name="图片 3">
          <a:extLst>
            <a:ext uri="{FF2B5EF4-FFF2-40B4-BE49-F238E27FC236}">
              <a16:creationId xmlns:a16="http://schemas.microsoft.com/office/drawing/2014/main" id="{85254F0D-6068-9400-DCA3-C95D5D117485}"/>
            </a:ext>
          </a:extLst>
        </xdr:cNvPr>
        <xdr:cNvPicPr>
          <a:picLocks noChangeAspect="1"/>
        </xdr:cNvPicPr>
      </xdr:nvPicPr>
      <xdr:blipFill>
        <a:blip xmlns:r="http://schemas.openxmlformats.org/officeDocument/2006/relationships" r:embed="rId3"/>
        <a:stretch>
          <a:fillRect/>
        </a:stretch>
      </xdr:blipFill>
      <xdr:spPr>
        <a:xfrm>
          <a:off x="0" y="3600450"/>
          <a:ext cx="4038095" cy="3495238"/>
        </a:xfrm>
        <a:prstGeom prst="rect">
          <a:avLst/>
        </a:prstGeom>
      </xdr:spPr>
    </xdr:pic>
    <xdr:clientData/>
  </xdr:twoCellAnchor>
  <xdr:twoCellAnchor editAs="oneCell">
    <xdr:from>
      <xdr:col>6</xdr:col>
      <xdr:colOff>0</xdr:colOff>
      <xdr:row>29</xdr:row>
      <xdr:rowOff>0</xdr:rowOff>
    </xdr:from>
    <xdr:to>
      <xdr:col>11</xdr:col>
      <xdr:colOff>580524</xdr:colOff>
      <xdr:row>51</xdr:row>
      <xdr:rowOff>18576</xdr:rowOff>
    </xdr:to>
    <xdr:pic>
      <xdr:nvPicPr>
        <xdr:cNvPr id="5" name="图片 4">
          <a:extLst>
            <a:ext uri="{FF2B5EF4-FFF2-40B4-BE49-F238E27FC236}">
              <a16:creationId xmlns:a16="http://schemas.microsoft.com/office/drawing/2014/main" id="{490AFBBE-54EE-925E-3B40-DA907F7A1234}"/>
            </a:ext>
          </a:extLst>
        </xdr:cNvPr>
        <xdr:cNvPicPr>
          <a:picLocks noChangeAspect="1"/>
        </xdr:cNvPicPr>
      </xdr:nvPicPr>
      <xdr:blipFill>
        <a:blip xmlns:r="http://schemas.openxmlformats.org/officeDocument/2006/relationships" r:embed="rId4"/>
        <a:stretch>
          <a:fillRect/>
        </a:stretch>
      </xdr:blipFill>
      <xdr:spPr>
        <a:xfrm>
          <a:off x="4114800" y="4972050"/>
          <a:ext cx="4009524" cy="3790476"/>
        </a:xfrm>
        <a:prstGeom prst="rect">
          <a:avLst/>
        </a:prstGeom>
      </xdr:spPr>
    </xdr:pic>
    <xdr:clientData/>
  </xdr:twoCellAnchor>
  <xdr:twoCellAnchor editAs="oneCell">
    <xdr:from>
      <xdr:col>12</xdr:col>
      <xdr:colOff>108857</xdr:colOff>
      <xdr:row>24</xdr:row>
      <xdr:rowOff>31296</xdr:rowOff>
    </xdr:from>
    <xdr:to>
      <xdr:col>23</xdr:col>
      <xdr:colOff>27214</xdr:colOff>
      <xdr:row>54</xdr:row>
      <xdr:rowOff>33701</xdr:rowOff>
    </xdr:to>
    <xdr:pic>
      <xdr:nvPicPr>
        <xdr:cNvPr id="7" name="图片 6">
          <a:extLst>
            <a:ext uri="{FF2B5EF4-FFF2-40B4-BE49-F238E27FC236}">
              <a16:creationId xmlns:a16="http://schemas.microsoft.com/office/drawing/2014/main" id="{D2BBBB5D-1CD3-7966-338C-04006B8AAFBE}"/>
            </a:ext>
          </a:extLst>
        </xdr:cNvPr>
        <xdr:cNvPicPr>
          <a:picLocks noChangeAspect="1"/>
        </xdr:cNvPicPr>
      </xdr:nvPicPr>
      <xdr:blipFill>
        <a:blip xmlns:r="http://schemas.openxmlformats.org/officeDocument/2006/relationships" r:embed="rId5"/>
        <a:stretch>
          <a:fillRect/>
        </a:stretch>
      </xdr:blipFill>
      <xdr:spPr>
        <a:xfrm>
          <a:off x="8273143" y="4276725"/>
          <a:ext cx="7402285" cy="5309190"/>
        </a:xfrm>
        <a:prstGeom prst="rect">
          <a:avLst/>
        </a:prstGeom>
      </xdr:spPr>
    </xdr:pic>
    <xdr:clientData/>
  </xdr:twoCellAnchor>
  <xdr:twoCellAnchor editAs="oneCell">
    <xdr:from>
      <xdr:col>12</xdr:col>
      <xdr:colOff>27215</xdr:colOff>
      <xdr:row>0</xdr:row>
      <xdr:rowOff>0</xdr:rowOff>
    </xdr:from>
    <xdr:to>
      <xdr:col>23</xdr:col>
      <xdr:colOff>462643</xdr:colOff>
      <xdr:row>24</xdr:row>
      <xdr:rowOff>40254</xdr:rowOff>
    </xdr:to>
    <xdr:pic>
      <xdr:nvPicPr>
        <xdr:cNvPr id="8" name="图片 7">
          <a:extLst>
            <a:ext uri="{FF2B5EF4-FFF2-40B4-BE49-F238E27FC236}">
              <a16:creationId xmlns:a16="http://schemas.microsoft.com/office/drawing/2014/main" id="{D6184CEF-8CE4-3B30-FABC-FD0069EF6979}"/>
            </a:ext>
          </a:extLst>
        </xdr:cNvPr>
        <xdr:cNvPicPr>
          <a:picLocks noChangeAspect="1"/>
        </xdr:cNvPicPr>
      </xdr:nvPicPr>
      <xdr:blipFill>
        <a:blip xmlns:r="http://schemas.openxmlformats.org/officeDocument/2006/relationships" r:embed="rId6"/>
        <a:stretch>
          <a:fillRect/>
        </a:stretch>
      </xdr:blipFill>
      <xdr:spPr>
        <a:xfrm>
          <a:off x="8191501" y="0"/>
          <a:ext cx="7919356" cy="4285683"/>
        </a:xfrm>
        <a:prstGeom prst="rect">
          <a:avLst/>
        </a:prstGeom>
      </xdr:spPr>
    </xdr:pic>
    <xdr:clientData/>
  </xdr:twoCellAnchor>
  <xdr:twoCellAnchor editAs="oneCell">
    <xdr:from>
      <xdr:col>12</xdr:col>
      <xdr:colOff>244928</xdr:colOff>
      <xdr:row>54</xdr:row>
      <xdr:rowOff>54429</xdr:rowOff>
    </xdr:from>
    <xdr:to>
      <xdr:col>22</xdr:col>
      <xdr:colOff>476250</xdr:colOff>
      <xdr:row>76</xdr:row>
      <xdr:rowOff>51945</xdr:rowOff>
    </xdr:to>
    <xdr:pic>
      <xdr:nvPicPr>
        <xdr:cNvPr id="9" name="图片 8">
          <a:extLst>
            <a:ext uri="{FF2B5EF4-FFF2-40B4-BE49-F238E27FC236}">
              <a16:creationId xmlns:a16="http://schemas.microsoft.com/office/drawing/2014/main" id="{04082F7C-FAB2-1BFD-4F34-1AE57A7C1F46}"/>
            </a:ext>
          </a:extLst>
        </xdr:cNvPr>
        <xdr:cNvPicPr>
          <a:picLocks noChangeAspect="1"/>
        </xdr:cNvPicPr>
      </xdr:nvPicPr>
      <xdr:blipFill>
        <a:blip xmlns:r="http://schemas.openxmlformats.org/officeDocument/2006/relationships" r:embed="rId7"/>
        <a:stretch>
          <a:fillRect/>
        </a:stretch>
      </xdr:blipFill>
      <xdr:spPr>
        <a:xfrm>
          <a:off x="8409214" y="9606643"/>
          <a:ext cx="7034893" cy="3889159"/>
        </a:xfrm>
        <a:prstGeom prst="rect">
          <a:avLst/>
        </a:prstGeom>
      </xdr:spPr>
    </xdr:pic>
    <xdr:clientData/>
  </xdr:twoCellAnchor>
  <xdr:twoCellAnchor editAs="oneCell">
    <xdr:from>
      <xdr:col>25</xdr:col>
      <xdr:colOff>27214</xdr:colOff>
      <xdr:row>0</xdr:row>
      <xdr:rowOff>0</xdr:rowOff>
    </xdr:from>
    <xdr:to>
      <xdr:col>37</xdr:col>
      <xdr:colOff>434357</xdr:colOff>
      <xdr:row>23</xdr:row>
      <xdr:rowOff>112416</xdr:rowOff>
    </xdr:to>
    <xdr:pic>
      <xdr:nvPicPr>
        <xdr:cNvPr id="10" name="图片 9">
          <a:extLst>
            <a:ext uri="{FF2B5EF4-FFF2-40B4-BE49-F238E27FC236}">
              <a16:creationId xmlns:a16="http://schemas.microsoft.com/office/drawing/2014/main" id="{B0C7A984-6E88-FCD5-48FE-649D5576CB01}"/>
            </a:ext>
          </a:extLst>
        </xdr:cNvPr>
        <xdr:cNvPicPr>
          <a:picLocks noChangeAspect="1"/>
        </xdr:cNvPicPr>
      </xdr:nvPicPr>
      <xdr:blipFill>
        <a:blip xmlns:r="http://schemas.openxmlformats.org/officeDocument/2006/relationships" r:embed="rId8"/>
        <a:stretch>
          <a:fillRect/>
        </a:stretch>
      </xdr:blipFill>
      <xdr:spPr>
        <a:xfrm>
          <a:off x="17036143" y="0"/>
          <a:ext cx="8571428" cy="4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估价对象为北京市房地产，为所有。根据《国有土地使用证》[]，估价对象（分摊）出让国有建设用地使用权面积为2386.36平方米，建筑面积为3905.76平方米。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估价对象为北京市房地产,为开发建设的，该项目尚在开发建设中。根据《国有土地使用证》[]，估价对象（分摊）出让国有建设用地使用权面积为2386.36平方米，规划建筑面积为3905.76平方米。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2024年12月3日（评估专业人员实地查勘之日）</v>
      </c>
    </row>
    <row r="13" spans="1:2">
      <c r="A13" s="1119" t="s">
        <v>529</v>
      </c>
      <c r="B13" s="1120" t="str">
        <f>'预评函-1'!A18</f>
        <v>本次估价的“房地产价值”是指在正常市场情况下，在价值时点2024年12月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本次评估采用的主估价方法为基准地价系数修正法和收益法。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3905.76</v>
      </c>
    </row>
    <row r="44" spans="1:2">
      <c r="A44" s="1119" t="s">
        <v>575</v>
      </c>
      <c r="B44" s="1120" t="str">
        <f>'预评函-3'!C2</f>
        <v>(分摊)土地面积</v>
      </c>
    </row>
    <row r="45" spans="1:2">
      <c r="A45" s="1119" t="s">
        <v>547</v>
      </c>
      <c r="B45" s="1120">
        <f>'预评函-3'!C4</f>
        <v>2386.36</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19" sqref="F19"/>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2569</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2570</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2283</v>
      </c>
      <c r="C17" s="1442"/>
    </row>
    <row r="18" spans="1:3">
      <c r="A18" s="1441" t="s">
        <v>1046</v>
      </c>
      <c r="B18" s="1441" t="s">
        <v>2425</v>
      </c>
      <c r="C18" s="1442"/>
    </row>
    <row r="19" spans="1:3">
      <c r="A19" s="1441" t="s">
        <v>1047</v>
      </c>
      <c r="B19" s="1441" t="s">
        <v>3409</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1447" t="s">
        <v>385</v>
      </c>
      <c r="C54" s="1445" t="s">
        <v>583</v>
      </c>
    </row>
    <row r="55" spans="1:4">
      <c r="A55" s="3185"/>
      <c r="B55" s="1447" t="s">
        <v>386</v>
      </c>
      <c r="C55" s="1445" t="s">
        <v>584</v>
      </c>
    </row>
    <row r="56" spans="1:4">
      <c r="A56" s="3185"/>
      <c r="B56" s="1447" t="s">
        <v>387</v>
      </c>
      <c r="C56" s="1445" t="s">
        <v>588</v>
      </c>
    </row>
    <row r="57" spans="1:4">
      <c r="A57" s="318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2492</v>
      </c>
      <c r="B1" s="2757"/>
      <c r="C1" s="2757"/>
      <c r="D1" s="2757"/>
      <c r="E1" s="2757"/>
      <c r="F1" s="2758"/>
      <c r="I1" s="3135" t="s">
        <v>2585</v>
      </c>
      <c r="J1" s="2783"/>
      <c r="K1" s="2783"/>
      <c r="L1" s="2783"/>
      <c r="M1" s="2783"/>
      <c r="N1" s="2968"/>
      <c r="O1" s="2968"/>
      <c r="P1" s="2968"/>
      <c r="Q1" s="2968"/>
      <c r="R1" s="2968"/>
    </row>
    <row r="2" spans="1:18">
      <c r="A2" s="2760"/>
      <c r="B2" s="2761"/>
      <c r="C2" s="2761"/>
      <c r="D2" s="2761"/>
      <c r="E2" s="2761"/>
      <c r="F2" s="2762"/>
      <c r="I2" s="3186" t="s">
        <v>2572</v>
      </c>
      <c r="J2" s="3186"/>
      <c r="K2" s="3186"/>
      <c r="L2" s="3186"/>
      <c r="M2" s="3186"/>
      <c r="N2" s="3186"/>
      <c r="O2" s="3186"/>
      <c r="P2" s="3186"/>
      <c r="Q2" s="3186"/>
      <c r="R2" s="3186"/>
    </row>
    <row r="3" spans="1:18">
      <c r="A3" s="2763" t="s">
        <v>2493</v>
      </c>
      <c r="B3" s="2764">
        <f>项目基本情况!D3</f>
        <v>45629</v>
      </c>
      <c r="C3" s="2766"/>
      <c r="D3" s="2766"/>
      <c r="E3" s="2766"/>
      <c r="F3" s="2762"/>
      <c r="I3" s="2778"/>
      <c r="J3" s="2778" t="s">
        <v>2576</v>
      </c>
      <c r="K3" s="2778" t="s">
        <v>2577</v>
      </c>
      <c r="L3" s="2778" t="s">
        <v>2578</v>
      </c>
      <c r="M3" s="2778" t="s">
        <v>2579</v>
      </c>
      <c r="N3" s="3136" t="s">
        <v>2580</v>
      </c>
      <c r="O3" s="3136" t="s">
        <v>2581</v>
      </c>
      <c r="P3" s="3136" t="s">
        <v>2582</v>
      </c>
      <c r="Q3" s="3136" t="s">
        <v>2583</v>
      </c>
      <c r="R3" s="3136" t="s">
        <v>2584</v>
      </c>
    </row>
    <row r="4" spans="1:18">
      <c r="A4" s="2763" t="s">
        <v>2494</v>
      </c>
      <c r="B4" s="2766" t="s">
        <v>2495</v>
      </c>
      <c r="C4" s="2766" t="s">
        <v>2496</v>
      </c>
      <c r="D4" s="2766" t="s">
        <v>2497</v>
      </c>
      <c r="E4" s="2766" t="s">
        <v>2498</v>
      </c>
      <c r="F4" s="2762"/>
      <c r="I4" s="2778" t="s">
        <v>2573</v>
      </c>
      <c r="J4" s="2778">
        <v>80</v>
      </c>
      <c r="K4" s="2778">
        <v>70</v>
      </c>
      <c r="L4" s="2778">
        <v>20</v>
      </c>
      <c r="M4" s="2778">
        <v>30</v>
      </c>
      <c r="N4" s="2766">
        <v>45</v>
      </c>
      <c r="O4" s="2766">
        <v>60</v>
      </c>
      <c r="P4" s="2766">
        <v>50</v>
      </c>
      <c r="Q4" s="2766">
        <v>20</v>
      </c>
      <c r="R4" s="2766">
        <v>375</v>
      </c>
    </row>
    <row r="5" spans="1:18">
      <c r="A5" s="2767">
        <v>40</v>
      </c>
      <c r="B5" s="2764">
        <v>46375</v>
      </c>
      <c r="C5" s="2766">
        <f>ROUNDDOWN(MIN((B5-B3)/365,A5),2)</f>
        <v>2.04</v>
      </c>
      <c r="D5" s="2768">
        <f>IF(ISERROR(ROUND(POWER(1+E5,A5-C5)*(POWER(1+E5,C5)-1)/(POWER(1+E5,A5)-1),3)),0,ROUND(POWER(1+E5,A5-C5)*(POWER(1+E5,C5)-1)/(POWER(1+E5,A5)-1),4))</f>
        <v>9.7100000000000006E-2</v>
      </c>
      <c r="E5" s="2769">
        <v>0.04</v>
      </c>
      <c r="F5" s="2762"/>
      <c r="I5" s="2778" t="s">
        <v>2574</v>
      </c>
      <c r="J5" s="2778">
        <v>70</v>
      </c>
      <c r="K5" s="2778">
        <v>60</v>
      </c>
      <c r="L5" s="2778">
        <v>15</v>
      </c>
      <c r="M5" s="2778">
        <v>25</v>
      </c>
      <c r="N5" s="2766">
        <v>40</v>
      </c>
      <c r="O5" s="2766">
        <v>50</v>
      </c>
      <c r="P5" s="2766">
        <v>40</v>
      </c>
      <c r="Q5" s="2766">
        <v>15</v>
      </c>
      <c r="R5" s="2766">
        <v>315</v>
      </c>
    </row>
    <row r="6" spans="1:18">
      <c r="A6" s="2767">
        <v>50</v>
      </c>
      <c r="B6" s="2764">
        <v>50028</v>
      </c>
      <c r="C6" s="2766">
        <f>ROUNDDOWN(MIN((B6-B3)/365,A6),2)</f>
        <v>12.05</v>
      </c>
      <c r="D6" s="2768">
        <f>IF(ISERROR(ROUND(POWER(1+E6,A6-C6)*(POWER(1+E6,C6)-1)/(POWER(1+E6,A6)-1),3)),0,ROUND(POWER(1+E6,A6-C6)*(POWER(1+E6,C6)-1)/(POWER(1+E6,A6)-1),4))</f>
        <v>0.43830000000000002</v>
      </c>
      <c r="E6" s="2769">
        <v>0.04</v>
      </c>
      <c r="F6" s="2762"/>
      <c r="I6" s="2778" t="s">
        <v>2575</v>
      </c>
      <c r="J6" s="2778">
        <v>60</v>
      </c>
      <c r="K6" s="2778">
        <v>50</v>
      </c>
      <c r="L6" s="2778">
        <v>10</v>
      </c>
      <c r="M6" s="2778">
        <v>20</v>
      </c>
      <c r="N6" s="2766">
        <v>35</v>
      </c>
      <c r="O6" s="2766">
        <v>40</v>
      </c>
      <c r="P6" s="2766">
        <v>30</v>
      </c>
      <c r="Q6" s="2766">
        <v>10</v>
      </c>
      <c r="R6" s="2766">
        <v>255</v>
      </c>
    </row>
    <row r="7" spans="1:18">
      <c r="A7" s="2767">
        <v>70</v>
      </c>
      <c r="B7" s="2764">
        <v>57333</v>
      </c>
      <c r="C7" s="2766">
        <f>ROUNDDOWN(MIN((B7-B3)/365,A7),2)</f>
        <v>32.06</v>
      </c>
      <c r="D7" s="2768">
        <f>IF(ISERROR(ROUND(POWER(1+E7,A7-C7)*(POWER(1+E7,C7)-1)/(POWER(1+E7,A7)-1),3)),0,ROUND(POWER(1+E7,A7-C7)*(POWER(1+E7,C7)-1)/(POWER(1+E7,A7)-1),4))</f>
        <v>0.76470000000000005</v>
      </c>
      <c r="E7" s="2769">
        <v>0.04</v>
      </c>
      <c r="F7" s="2762"/>
    </row>
    <row r="8" spans="1:18">
      <c r="A8" s="2760"/>
      <c r="B8" s="2761"/>
      <c r="C8" s="2761"/>
      <c r="D8" s="2761"/>
      <c r="E8" s="2761"/>
      <c r="F8" s="2762"/>
    </row>
    <row r="9" spans="1:18">
      <c r="A9" s="2763" t="s">
        <v>2499</v>
      </c>
      <c r="B9" s="2766"/>
      <c r="C9" s="2766"/>
      <c r="D9" s="2766"/>
      <c r="E9" s="2766"/>
      <c r="F9" s="2770"/>
    </row>
    <row r="10" spans="1:18">
      <c r="A10" s="2763" t="s">
        <v>2500</v>
      </c>
      <c r="B10" s="2766"/>
      <c r="C10" s="2766"/>
      <c r="D10" s="2766" t="s">
        <v>2498</v>
      </c>
      <c r="E10" s="2766"/>
      <c r="F10" s="2770" t="s">
        <v>2497</v>
      </c>
    </row>
    <row r="11" spans="1:18">
      <c r="A11" s="2763" t="s">
        <v>2501</v>
      </c>
      <c r="B11" s="2771">
        <v>70</v>
      </c>
      <c r="C11" s="2766" t="s">
        <v>2502</v>
      </c>
      <c r="D11" s="2771">
        <v>4.4999999999999998E-2</v>
      </c>
      <c r="E11" s="2766" t="s">
        <v>2503</v>
      </c>
      <c r="F11" s="2772">
        <f>ROUND(1-(1/(POWER(1+D11,B11))),4)</f>
        <v>0.95409999999999995</v>
      </c>
    </row>
    <row r="12" spans="1:18">
      <c r="A12" s="2763" t="s">
        <v>2504</v>
      </c>
      <c r="B12" s="2771">
        <v>40</v>
      </c>
      <c r="C12" s="2766" t="s">
        <v>2505</v>
      </c>
      <c r="D12" s="2771">
        <v>4.4999999999999998E-2</v>
      </c>
      <c r="E12" s="2766" t="s">
        <v>2506</v>
      </c>
      <c r="F12" s="2772">
        <f>ROUND(1-(1/(POWER(1+D12,B12))),4)</f>
        <v>0.82809999999999995</v>
      </c>
    </row>
    <row r="13" spans="1:18">
      <c r="A13" s="2763" t="s">
        <v>2507</v>
      </c>
      <c r="B13" s="2766"/>
      <c r="C13" s="2766"/>
      <c r="D13" s="2761"/>
      <c r="E13" s="2761"/>
      <c r="F13" s="2762"/>
    </row>
    <row r="14" spans="1:18">
      <c r="A14" s="2763" t="s">
        <v>2508</v>
      </c>
      <c r="B14" s="2771">
        <v>5000</v>
      </c>
      <c r="C14" s="2765"/>
      <c r="D14" s="2761"/>
      <c r="E14" s="2761"/>
      <c r="F14" s="2762"/>
    </row>
    <row r="15" spans="1:18">
      <c r="A15" s="2763" t="s">
        <v>2509</v>
      </c>
      <c r="B15" s="2766">
        <f>ROUND(B14*F12/F11,2)</f>
        <v>4339.6899999999996</v>
      </c>
      <c r="C15" s="2766">
        <f>ROUND(F12/F11,4)</f>
        <v>0.8679</v>
      </c>
      <c r="D15" s="2761"/>
      <c r="E15" s="2761"/>
      <c r="F15" s="2762"/>
    </row>
    <row r="16" spans="1:18">
      <c r="A16" s="2763" t="s">
        <v>2510</v>
      </c>
      <c r="B16" s="2766"/>
      <c r="C16" s="2766"/>
      <c r="D16" s="2761"/>
      <c r="E16" s="2761"/>
      <c r="F16" s="2762"/>
    </row>
    <row r="17" spans="1:13">
      <c r="A17" s="2763" t="s">
        <v>2509</v>
      </c>
      <c r="B17" s="2771">
        <v>4810</v>
      </c>
      <c r="C17" s="2765"/>
      <c r="D17" s="2761"/>
      <c r="E17" s="2761"/>
      <c r="F17" s="2762"/>
    </row>
    <row r="18" spans="1:13" ht="14.25" thickBot="1">
      <c r="A18" s="2773" t="s">
        <v>2508</v>
      </c>
      <c r="B18" s="2774">
        <f>ROUND(B17*F11/F12,2)</f>
        <v>5541.87</v>
      </c>
      <c r="C18" s="2774">
        <f>ROUND(F11/F12,4)</f>
        <v>1.1521999999999999</v>
      </c>
      <c r="D18" s="2775"/>
      <c r="E18" s="2775"/>
      <c r="F18" s="2776"/>
    </row>
    <row r="19" spans="1:13" ht="14.25" thickBot="1"/>
    <row r="20" spans="1:13" s="2809" customFormat="1" ht="14.25" thickTop="1">
      <c r="A20" s="2806" t="s">
        <v>2511</v>
      </c>
      <c r="B20" s="2807"/>
      <c r="C20" s="2807"/>
      <c r="D20" s="2807"/>
      <c r="E20" s="2807"/>
      <c r="F20" s="2807"/>
      <c r="G20" s="2808"/>
      <c r="I20" s="2810" t="s">
        <v>2556</v>
      </c>
      <c r="J20" s="2810" t="s">
        <v>2561</v>
      </c>
      <c r="K20" s="2810"/>
      <c r="L20" s="2810"/>
      <c r="M20" s="2810"/>
    </row>
    <row r="21" spans="1:13">
      <c r="A21" s="2777"/>
      <c r="B21" s="2778" t="s">
        <v>2512</v>
      </c>
      <c r="C21" s="2778" t="s">
        <v>2513</v>
      </c>
      <c r="D21" s="2778" t="s">
        <v>2514</v>
      </c>
      <c r="E21" s="2778" t="s">
        <v>2515</v>
      </c>
      <c r="F21" s="2778" t="s">
        <v>2516</v>
      </c>
      <c r="G21" s="2779" t="s">
        <v>2517</v>
      </c>
      <c r="I21" s="2800">
        <v>5</v>
      </c>
      <c r="J21" s="2800">
        <v>54.2</v>
      </c>
    </row>
    <row r="22" spans="1:13">
      <c r="A22" s="2777" t="s">
        <v>2518</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2519</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2559</v>
      </c>
      <c r="M23" s="2800" t="s">
        <v>2560</v>
      </c>
    </row>
    <row r="24" spans="1:13">
      <c r="A24" s="2777" t="s">
        <v>2520</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2558</v>
      </c>
      <c r="M24" s="2800">
        <v>10</v>
      </c>
    </row>
    <row r="25" spans="1:13">
      <c r="A25" s="2777" t="s">
        <v>2521</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2562</v>
      </c>
      <c r="M25" s="2800">
        <v>8</v>
      </c>
    </row>
    <row r="26" spans="1:13">
      <c r="A26" s="2782"/>
      <c r="B26" s="2783"/>
      <c r="C26" s="2783"/>
      <c r="D26" s="2783"/>
      <c r="E26" s="2783"/>
      <c r="F26" s="2783"/>
      <c r="G26" s="2784"/>
      <c r="I26" s="2800">
        <v>30</v>
      </c>
      <c r="J26" s="2800">
        <v>90.5</v>
      </c>
      <c r="K26" s="2800">
        <f t="shared" si="2"/>
        <v>4.2000000000000028</v>
      </c>
      <c r="L26" s="2800" t="s">
        <v>2563</v>
      </c>
      <c r="M26" s="2800">
        <v>5</v>
      </c>
    </row>
    <row r="27" spans="1:13">
      <c r="A27" s="2782" t="s">
        <v>2522</v>
      </c>
      <c r="B27" s="2783"/>
      <c r="C27" s="2783"/>
      <c r="D27" s="2783"/>
      <c r="E27" s="2783"/>
      <c r="F27" s="2783"/>
      <c r="G27" s="2784"/>
      <c r="I27" s="2800">
        <v>35</v>
      </c>
      <c r="J27" s="2800">
        <v>93.8</v>
      </c>
      <c r="K27" s="2800">
        <f t="shared" si="2"/>
        <v>3.2999999999999972</v>
      </c>
      <c r="L27" s="2800" t="s">
        <v>2564</v>
      </c>
      <c r="M27" s="2800">
        <v>3</v>
      </c>
    </row>
    <row r="28" spans="1:13">
      <c r="A28" s="2782" t="s">
        <v>2523</v>
      </c>
      <c r="B28" s="2783"/>
      <c r="C28" s="2783"/>
      <c r="D28" s="2783"/>
      <c r="E28" s="2783"/>
      <c r="F28" s="2783"/>
      <c r="G28" s="2784"/>
      <c r="I28" s="2800">
        <v>40</v>
      </c>
      <c r="J28" s="2800">
        <v>96.4</v>
      </c>
      <c r="K28" s="2800">
        <f t="shared" si="2"/>
        <v>2.6000000000000085</v>
      </c>
      <c r="L28" s="2800" t="s">
        <v>2565</v>
      </c>
      <c r="M28" s="2800">
        <v>2</v>
      </c>
    </row>
    <row r="29" spans="1:13">
      <c r="A29" s="2782" t="s">
        <v>2524</v>
      </c>
      <c r="B29" s="2783"/>
      <c r="C29" s="2783"/>
      <c r="D29" s="2783"/>
      <c r="E29" s="2783"/>
      <c r="F29" s="2783"/>
      <c r="G29" s="2784"/>
      <c r="I29" s="2800">
        <v>45</v>
      </c>
      <c r="J29" s="2800">
        <v>98.4</v>
      </c>
      <c r="K29" s="2800">
        <f t="shared" si="2"/>
        <v>2</v>
      </c>
    </row>
    <row r="30" spans="1:13">
      <c r="A30" s="2782" t="s">
        <v>2525</v>
      </c>
      <c r="B30" s="2783"/>
      <c r="C30" s="2783"/>
      <c r="D30" s="2783"/>
      <c r="E30" s="2783"/>
      <c r="F30" s="2783"/>
      <c r="G30" s="2784"/>
      <c r="I30" s="2800">
        <v>50</v>
      </c>
      <c r="J30" s="2800">
        <v>100</v>
      </c>
      <c r="K30" s="2800">
        <f t="shared" si="2"/>
        <v>1.5999999999999943</v>
      </c>
    </row>
    <row r="31" spans="1:13">
      <c r="A31" s="2782" t="s">
        <v>2526</v>
      </c>
      <c r="B31" s="2783"/>
      <c r="C31" s="2783"/>
      <c r="D31" s="2783"/>
      <c r="E31" s="2783"/>
      <c r="F31" s="2783"/>
      <c r="G31" s="2784"/>
      <c r="I31" s="2800" t="s">
        <v>2557</v>
      </c>
    </row>
    <row r="32" spans="1:13">
      <c r="A32" s="2782" t="s">
        <v>2527</v>
      </c>
      <c r="B32" s="2783"/>
      <c r="C32" s="2783"/>
      <c r="D32" s="2783"/>
      <c r="E32" s="2783"/>
      <c r="F32" s="2783"/>
      <c r="G32" s="2784"/>
    </row>
    <row r="33" spans="1:13">
      <c r="A33" s="2782" t="s">
        <v>2528</v>
      </c>
      <c r="B33" s="2783"/>
      <c r="C33" s="2783"/>
      <c r="D33" s="2783"/>
      <c r="E33" s="2783"/>
      <c r="F33" s="2783"/>
      <c r="G33" s="2784"/>
      <c r="I33" s="2800" t="s">
        <v>2556</v>
      </c>
      <c r="J33" s="2800" t="s">
        <v>2566</v>
      </c>
    </row>
    <row r="34" spans="1:13">
      <c r="A34" s="2782" t="s">
        <v>2529</v>
      </c>
      <c r="B34" s="2783"/>
      <c r="C34" s="2783"/>
      <c r="D34" s="2783"/>
      <c r="E34" s="2783"/>
      <c r="F34" s="2783"/>
      <c r="G34" s="2784"/>
      <c r="I34" s="2800">
        <v>5</v>
      </c>
      <c r="J34" s="2800">
        <v>55.1</v>
      </c>
    </row>
    <row r="35" spans="1:13">
      <c r="A35" s="2782" t="s">
        <v>2530</v>
      </c>
      <c r="B35" s="2783"/>
      <c r="C35" s="2783"/>
      <c r="D35" s="2783"/>
      <c r="E35" s="2783"/>
      <c r="F35" s="2783"/>
      <c r="G35" s="2784"/>
      <c r="I35" s="2800">
        <v>10</v>
      </c>
      <c r="J35" s="2800">
        <v>67</v>
      </c>
      <c r="K35" s="2800">
        <f>J35-J34</f>
        <v>11.899999999999999</v>
      </c>
    </row>
    <row r="36" spans="1:13">
      <c r="A36" s="2782" t="s">
        <v>2531</v>
      </c>
      <c r="B36" s="2783"/>
      <c r="C36" s="2783"/>
      <c r="D36" s="2783"/>
      <c r="E36" s="2783"/>
      <c r="F36" s="2783"/>
      <c r="G36" s="2784"/>
      <c r="I36" s="2800">
        <v>15</v>
      </c>
      <c r="J36" s="2800">
        <v>76.3</v>
      </c>
      <c r="K36" s="2800">
        <f t="shared" ref="K36:K41" si="3">J36-J35</f>
        <v>9.2999999999999972</v>
      </c>
      <c r="L36" s="2800" t="s">
        <v>2559</v>
      </c>
      <c r="M36" s="2800" t="s">
        <v>2560</v>
      </c>
    </row>
    <row r="37" spans="1:13">
      <c r="A37" s="2782" t="s">
        <v>2532</v>
      </c>
      <c r="B37" s="2783"/>
      <c r="C37" s="2783"/>
      <c r="D37" s="2783"/>
      <c r="E37" s="2783"/>
      <c r="F37" s="2783"/>
      <c r="G37" s="2784"/>
      <c r="I37" s="2800">
        <v>20</v>
      </c>
      <c r="J37" s="2800">
        <v>83.6</v>
      </c>
      <c r="K37" s="2800">
        <f t="shared" si="3"/>
        <v>7.2999999999999972</v>
      </c>
      <c r="L37" s="2800" t="s">
        <v>2558</v>
      </c>
      <c r="M37" s="2800">
        <v>10</v>
      </c>
    </row>
    <row r="38" spans="1:13">
      <c r="A38" s="2782" t="s">
        <v>2533</v>
      </c>
      <c r="B38" s="2783"/>
      <c r="C38" s="2783"/>
      <c r="D38" s="2783"/>
      <c r="E38" s="2783"/>
      <c r="F38" s="2783"/>
      <c r="G38" s="2784"/>
      <c r="I38" s="2800">
        <v>25</v>
      </c>
      <c r="J38" s="2800">
        <v>89.3</v>
      </c>
      <c r="K38" s="2800">
        <f t="shared" si="3"/>
        <v>5.7000000000000028</v>
      </c>
      <c r="L38" s="2800" t="s">
        <v>2562</v>
      </c>
      <c r="M38" s="2800">
        <v>8</v>
      </c>
    </row>
    <row r="39" spans="1:13">
      <c r="A39" s="2782"/>
      <c r="B39" s="2783"/>
      <c r="C39" s="2783"/>
      <c r="D39" s="2783"/>
      <c r="E39" s="2783"/>
      <c r="F39" s="2783"/>
      <c r="G39" s="2784"/>
      <c r="I39" s="2800">
        <v>30</v>
      </c>
      <c r="J39" s="2800">
        <v>93.8</v>
      </c>
      <c r="K39" s="2800">
        <f t="shared" si="3"/>
        <v>4.5</v>
      </c>
      <c r="L39" s="2800" t="s">
        <v>2563</v>
      </c>
      <c r="M39" s="2800">
        <v>6</v>
      </c>
    </row>
    <row r="40" spans="1:13">
      <c r="A40" s="2785" t="s">
        <v>2534</v>
      </c>
      <c r="B40" s="2786"/>
      <c r="C40" s="2786"/>
      <c r="D40" s="2786"/>
      <c r="E40" s="2786"/>
      <c r="F40" s="2786"/>
      <c r="G40" s="2787"/>
      <c r="I40" s="2800">
        <v>35</v>
      </c>
      <c r="J40" s="2800">
        <v>97.2</v>
      </c>
      <c r="K40" s="2800">
        <f t="shared" si="3"/>
        <v>3.4000000000000057</v>
      </c>
      <c r="L40" s="2800" t="s">
        <v>2564</v>
      </c>
      <c r="M40" s="2800">
        <v>3</v>
      </c>
    </row>
    <row r="41" spans="1:13">
      <c r="A41" s="2788" t="s">
        <v>2535</v>
      </c>
      <c r="B41" s="2789" t="s">
        <v>2536</v>
      </c>
      <c r="C41" s="2790" t="s">
        <v>2537</v>
      </c>
      <c r="D41" s="2790" t="s">
        <v>2538</v>
      </c>
      <c r="E41" s="2791"/>
      <c r="F41" s="2792"/>
      <c r="G41" s="2793"/>
      <c r="I41" s="2800">
        <v>40</v>
      </c>
      <c r="J41" s="2800">
        <v>100</v>
      </c>
      <c r="K41" s="2800">
        <f t="shared" si="3"/>
        <v>2.7999999999999972</v>
      </c>
    </row>
    <row r="42" spans="1:13">
      <c r="A42" s="2788" t="s">
        <v>2539</v>
      </c>
      <c r="B42" s="2789" t="s">
        <v>2540</v>
      </c>
      <c r="C42" s="2790" t="s">
        <v>2541</v>
      </c>
      <c r="D42" s="2794" t="s">
        <v>2542</v>
      </c>
      <c r="E42" s="2786" t="s">
        <v>2543</v>
      </c>
      <c r="F42" s="2786"/>
      <c r="G42" s="2787"/>
    </row>
    <row r="43" spans="1:13">
      <c r="A43" s="2788" t="s">
        <v>2544</v>
      </c>
      <c r="B43" s="2789" t="s">
        <v>2545</v>
      </c>
      <c r="C43" s="2790" t="s">
        <v>2546</v>
      </c>
      <c r="D43" s="2790" t="s">
        <v>2547</v>
      </c>
      <c r="E43" s="2791" t="s">
        <v>2548</v>
      </c>
      <c r="F43" s="2792"/>
      <c r="G43" s="2793"/>
      <c r="I43" s="2800" t="s">
        <v>2556</v>
      </c>
      <c r="J43" s="2800" t="s">
        <v>2567</v>
      </c>
    </row>
    <row r="44" spans="1:13">
      <c r="A44" s="2788" t="s">
        <v>2549</v>
      </c>
      <c r="B44" s="2789" t="s">
        <v>2550</v>
      </c>
      <c r="C44" s="2790" t="s">
        <v>2551</v>
      </c>
      <c r="D44" s="2794">
        <v>0.5</v>
      </c>
      <c r="E44" s="2791" t="s">
        <v>2552</v>
      </c>
      <c r="F44" s="2792"/>
      <c r="G44" s="2793"/>
      <c r="I44" s="2800">
        <v>30</v>
      </c>
      <c r="J44" s="2800">
        <v>81.7</v>
      </c>
    </row>
    <row r="45" spans="1:13" ht="14.25" thickBot="1">
      <c r="A45" s="2795" t="s">
        <v>2553</v>
      </c>
      <c r="B45" s="2796" t="s">
        <v>2540</v>
      </c>
      <c r="C45" s="2797" t="s">
        <v>2540</v>
      </c>
      <c r="D45" s="2797" t="s">
        <v>2554</v>
      </c>
      <c r="E45" s="2798" t="s">
        <v>2555</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8" sqref="C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194" t="str">
        <f>IF(B10="北京市","北京市",C10)&amp;F10&amp;IF(结果表!G1="在建","出让国有建设用地使用权及在建建筑物",IF(结果表!G1="土地","出让国有建设用地使用权",))&amp;B9&amp;"预评估"</f>
        <v>北京市房地产抵押价值预评估</v>
      </c>
      <c r="C1" s="3195"/>
      <c r="D1" s="3195"/>
      <c r="E1" s="3195"/>
      <c r="F1" s="3195"/>
      <c r="G1" s="3195"/>
      <c r="H1" s="3195"/>
      <c r="I1" s="319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v>45629</v>
      </c>
      <c r="C3" s="2186" t="s">
        <v>2170</v>
      </c>
      <c r="D3" s="2185">
        <v>45629</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3385</v>
      </c>
      <c r="C8" s="2201"/>
      <c r="D8" s="3197" t="s">
        <v>2176</v>
      </c>
      <c r="E8" s="2202" t="s">
        <v>3386</v>
      </c>
      <c r="F8" s="2203"/>
      <c r="G8" s="2442"/>
      <c r="H8" s="2442"/>
      <c r="I8" s="2442"/>
      <c r="J8" s="2245"/>
      <c r="K8" s="2400"/>
      <c r="L8" s="2399"/>
      <c r="M8" s="2399"/>
      <c r="N8" s="2245"/>
      <c r="O8" s="1670"/>
      <c r="P8" s="2245"/>
      <c r="Q8" s="2245"/>
      <c r="R8" s="2245"/>
    </row>
    <row r="9" spans="1:30" ht="13.5" thickBot="1">
      <c r="A9" s="2204" t="s">
        <v>2177</v>
      </c>
      <c r="B9" s="2205" t="s">
        <v>3386</v>
      </c>
      <c r="C9" s="2206"/>
      <c r="D9" s="3198"/>
      <c r="E9" s="2205" t="s">
        <v>43</v>
      </c>
      <c r="F9" s="2207"/>
      <c r="G9" s="2443"/>
      <c r="H9" s="2443"/>
      <c r="I9" s="2443"/>
      <c r="J9" s="2245"/>
      <c r="K9" s="2402"/>
      <c r="L9" s="2399"/>
      <c r="M9" s="2399"/>
      <c r="N9" s="2245"/>
      <c r="O9" s="1670"/>
      <c r="P9" s="2245"/>
      <c r="Q9" s="2245"/>
      <c r="R9" s="2245"/>
    </row>
    <row r="10" spans="1:30" ht="13.5" thickTop="1">
      <c r="A10" s="2208" t="s">
        <v>2178</v>
      </c>
      <c r="B10" s="2209" t="s">
        <v>3387</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3388</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2568</v>
      </c>
      <c r="J12" s="2803"/>
      <c r="K12" s="2399"/>
      <c r="L12" s="2399"/>
      <c r="M12" s="2245"/>
      <c r="N12" s="1670"/>
      <c r="O12" s="2245"/>
      <c r="P12" s="2245"/>
      <c r="Q12" s="2245"/>
      <c r="AD12" s="1618"/>
    </row>
    <row r="13" spans="1:30">
      <c r="A13" s="3122" t="s">
        <v>3324</v>
      </c>
      <c r="B13" s="2218" t="s">
        <v>2189</v>
      </c>
      <c r="C13" s="803"/>
      <c r="D13" s="803">
        <v>52190</v>
      </c>
      <c r="E13" s="803"/>
      <c r="F13" s="803"/>
      <c r="G13" s="803"/>
      <c r="H13" s="803"/>
      <c r="I13" s="803"/>
      <c r="J13" s="2803"/>
      <c r="K13" s="2399"/>
      <c r="L13" s="2399"/>
      <c r="M13" s="2245"/>
      <c r="N13" s="1670"/>
      <c r="O13" s="2245"/>
      <c r="P13" s="2245"/>
      <c r="Q13" s="2245"/>
      <c r="AD13" s="1618"/>
    </row>
    <row r="14" spans="1:30">
      <c r="A14" s="1018"/>
      <c r="B14" s="2218" t="s">
        <v>2190</v>
      </c>
      <c r="C14" s="2219"/>
      <c r="D14" s="2219">
        <v>40</v>
      </c>
      <c r="E14" s="2219"/>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f>IF(A13="出让",IF(D13="","",ROUNDDOWN(MIN((D13-$D$3)/365,D14),2)),D14)</f>
        <v>17.97</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04"/>
      <c r="C16" s="3205"/>
      <c r="D16" s="3206"/>
      <c r="E16" s="2222" t="s">
        <v>2193</v>
      </c>
      <c r="F16" s="3207"/>
      <c r="G16" s="3208"/>
      <c r="H16" s="3208"/>
      <c r="I16" s="3209"/>
      <c r="J16" s="2245"/>
      <c r="K16" s="2403"/>
      <c r="L16" s="1670"/>
      <c r="M16" s="1670"/>
      <c r="N16" s="2245"/>
      <c r="O16" s="1670"/>
      <c r="P16" s="2245"/>
      <c r="Q16" s="2245"/>
      <c r="R16" s="2245"/>
    </row>
    <row r="17" spans="1:28">
      <c r="A17" s="305" t="s">
        <v>2194</v>
      </c>
      <c r="B17" s="294" t="s">
        <v>2195</v>
      </c>
      <c r="C17" s="8">
        <f>'数据-汇总表'!E3</f>
        <v>3905.76</v>
      </c>
      <c r="D17" s="1256" t="s">
        <v>2196</v>
      </c>
      <c r="E17" s="3210" t="s">
        <v>2197</v>
      </c>
      <c r="F17" s="3211"/>
      <c r="G17" s="3211"/>
      <c r="H17" s="3211"/>
      <c r="I17" s="3212"/>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2386.36</v>
      </c>
      <c r="D18" s="1029" t="s">
        <v>2200</v>
      </c>
      <c r="E18" s="3213" t="s">
        <v>2201</v>
      </c>
      <c r="F18" s="3214"/>
      <c r="G18" s="3214"/>
      <c r="H18" s="3214"/>
      <c r="I18" s="3215"/>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00" t="s">
        <v>2205</v>
      </c>
      <c r="C20" s="3201"/>
      <c r="D20" s="3202" t="s">
        <v>2206</v>
      </c>
      <c r="E20" s="3203"/>
      <c r="F20" s="2430" t="s">
        <v>1056</v>
      </c>
      <c r="G20" s="2442"/>
      <c r="H20" s="2442"/>
      <c r="I20" s="2442"/>
      <c r="J20" s="2245"/>
      <c r="K20" s="3199"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19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19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88"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88"/>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88"/>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89"/>
      <c r="B30" s="294" t="s">
        <v>2217</v>
      </c>
      <c r="C30" s="3190"/>
      <c r="D30" s="3191"/>
      <c r="E30" s="2442"/>
      <c r="F30" s="2442"/>
      <c r="G30" s="2442"/>
      <c r="H30" s="2442"/>
      <c r="I30" s="2442"/>
      <c r="J30" s="2245"/>
      <c r="K30" s="2402"/>
      <c r="L30" s="2399"/>
      <c r="M30" s="2399"/>
      <c r="N30" s="2245"/>
      <c r="O30" s="1670"/>
      <c r="P30" s="2245"/>
      <c r="Q30" s="2245"/>
      <c r="R30" s="2245"/>
      <c r="S30" s="2245"/>
      <c r="T30" s="2245"/>
      <c r="U30" s="2245"/>
      <c r="V30" s="2245"/>
    </row>
    <row r="31" spans="1:28">
      <c r="A31" s="3192"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19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19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187" t="s">
        <v>2227</v>
      </c>
      <c r="T34" s="315" t="str">
        <f>NUMBERSTRING(7-K34,1)&amp;"通"</f>
        <v>七通</v>
      </c>
      <c r="U34" s="2245"/>
      <c r="V34" s="2245"/>
    </row>
    <row r="35" spans="1:30">
      <c r="A35" s="2236"/>
      <c r="B35" s="3187" t="s">
        <v>2228</v>
      </c>
      <c r="C35" s="3187"/>
      <c r="D35" s="3187"/>
      <c r="E35" s="318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87"/>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2571</v>
      </c>
      <c r="G36" s="2442"/>
      <c r="H36" s="2442"/>
      <c r="I36" s="2442"/>
      <c r="J36" s="2245"/>
      <c r="K36" s="2402"/>
      <c r="L36" s="2399"/>
      <c r="M36" s="2399"/>
      <c r="N36" s="2245"/>
      <c r="O36" s="1670"/>
      <c r="P36" s="2245"/>
      <c r="Q36" s="2245"/>
      <c r="R36" s="2245"/>
      <c r="S36" s="2245"/>
      <c r="T36" s="2245"/>
      <c r="U36" s="2245"/>
      <c r="V36" s="2245"/>
    </row>
    <row r="37" spans="1:30">
      <c r="A37" s="2415" t="s">
        <v>2229</v>
      </c>
      <c r="B37" s="2237" t="s">
        <v>303</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t="s">
        <v>2975</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2386.36</v>
      </c>
      <c r="B3" s="11">
        <f>IF(C3="否",G5-AT5,G5)</f>
        <v>3905.76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3905.76</v>
      </c>
      <c r="H5" s="13">
        <f t="shared" ref="H5:AT5" si="0">SUM(H13:H656)</f>
        <v>3905.76</v>
      </c>
      <c r="I5" s="13">
        <f t="shared" si="0"/>
        <v>2929.54</v>
      </c>
      <c r="J5" s="13">
        <f t="shared" si="0"/>
        <v>0</v>
      </c>
      <c r="K5" s="13">
        <f t="shared" si="0"/>
        <v>976.22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3905.76</v>
      </c>
      <c r="BA5" s="15">
        <f t="shared" si="1"/>
        <v>3905.76</v>
      </c>
      <c r="BB5" s="15">
        <f t="shared" si="1"/>
        <v>2929.54</v>
      </c>
      <c r="BC5" s="15">
        <f t="shared" si="1"/>
        <v>976.22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2386.36</v>
      </c>
      <c r="F6" s="13" t="s">
        <v>0</v>
      </c>
      <c r="G6" s="13" t="s">
        <v>1</v>
      </c>
      <c r="H6" s="17">
        <f>SUMIF(I$12:AB$12,"总值",I6:AB6)</f>
        <v>2386.36</v>
      </c>
      <c r="I6" s="13">
        <f t="shared" ref="I6:AB6" si="2">ROUND($A$3*I5/$B$3,2)</f>
        <v>1789.9</v>
      </c>
      <c r="J6" s="13">
        <f t="shared" si="2"/>
        <v>0</v>
      </c>
      <c r="K6" s="13">
        <f t="shared" si="2"/>
        <v>596.46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2386.36</v>
      </c>
      <c r="AZ6" s="13" t="s">
        <v>2</v>
      </c>
      <c r="BA6" s="13">
        <f>ROUND($AY$6*BA5/$AZ$5,2)</f>
        <v>2386.36</v>
      </c>
      <c r="BB6" s="13">
        <f>ROUND($AY$6*BB5/$AZ$5,2)</f>
        <v>1789.9</v>
      </c>
      <c r="BC6" s="13">
        <f t="shared" ref="BC6:BH6" si="4">ROUND($AY$6*BC5/$AZ$5,2)</f>
        <v>596.46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3382</v>
      </c>
      <c r="J9" s="761"/>
      <c r="K9" s="1491" t="s">
        <v>3383</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673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480" t="s">
        <v>3380</v>
      </c>
      <c r="D13" s="1513" t="s">
        <v>3381</v>
      </c>
      <c r="E13" s="13">
        <f>IF($C$3="是",ROUND($A$3*G13/$B$3,2),ROUND($A$3*(G13-AT13)/$B$3,2))</f>
        <v>812.65</v>
      </c>
      <c r="F13" s="29"/>
      <c r="G13" s="30">
        <f>H13+AC13+AT13</f>
        <v>1330.07</v>
      </c>
      <c r="H13" s="17">
        <f>SUMIF(I$12:AB$12,"总值",I13:AB13)</f>
        <v>1330.07</v>
      </c>
      <c r="I13" s="1514">
        <v>1330.07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会所</v>
      </c>
      <c r="AY13" s="1260">
        <f>ROUND($AY$6*AZ13/$AZ$5,2)</f>
        <v>812.65</v>
      </c>
      <c r="AZ13" s="13">
        <f>BA13+BL13</f>
        <v>1330.07</v>
      </c>
      <c r="BA13" s="13">
        <f>SUM(BB13:BK13)</f>
        <v>1330.07</v>
      </c>
      <c r="BB13" s="13">
        <f>IF($D13="是",I13-J13,0)</f>
        <v>1330.07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t="s">
        <v>3381</v>
      </c>
      <c r="E14" s="13">
        <f>IF($C$3="是",ROUND($A$3*G14/$B$3,2),ROUND($A$3*(G14-AT14)/$B$3,2))</f>
        <v>591.94000000000005</v>
      </c>
      <c r="F14" s="29"/>
      <c r="G14" s="30">
        <f>H14+AC14+AT14</f>
        <v>968.83</v>
      </c>
      <c r="H14" s="17">
        <f>SUMIF(I$12:AB$12,"总值",I14:AB14)</f>
        <v>968.83</v>
      </c>
      <c r="I14" s="1514">
        <v>968.83</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591.94000000000005</v>
      </c>
      <c r="AZ14" s="13">
        <f>BA14+BL14</f>
        <v>968.83</v>
      </c>
      <c r="BA14" s="13">
        <f>SUM(BB14:BK14)</f>
        <v>968.83</v>
      </c>
      <c r="BB14" s="13">
        <f>IF($D14="是",I14-J14,0)</f>
        <v>968.83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t="s">
        <v>3381</v>
      </c>
      <c r="E15" s="13">
        <f>IF($C$3="是",ROUND($A$3*G15/$B$3,2),ROUND($A$3*(G15-AT15)/$B$3,2))</f>
        <v>385.31</v>
      </c>
      <c r="F15" s="29"/>
      <c r="G15" s="30">
        <f>H15+AC15+AT15</f>
        <v>630.64</v>
      </c>
      <c r="H15" s="17">
        <f>SUMIF(I$12:AB$12,"总值",I15:AB15)</f>
        <v>630.64</v>
      </c>
      <c r="I15" s="1514">
        <v>630.64</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385.31</v>
      </c>
      <c r="AZ15" s="13">
        <f>BA15+BL15</f>
        <v>630.64</v>
      </c>
      <c r="BA15" s="13">
        <f>SUM(BB15:BK15)</f>
        <v>630.64</v>
      </c>
      <c r="BB15" s="13">
        <f>IF($D15="是",I15-J15,0)</f>
        <v>630.64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t="s">
        <v>3381</v>
      </c>
      <c r="E16" s="13">
        <f>IF($C$3="是",ROUND($A$3*G16/$B$3,2),ROUND($A$3*(G16-AT16)/$B$3,2))</f>
        <v>596.46</v>
      </c>
      <c r="F16" s="29"/>
      <c r="G16" s="30">
        <f>H16+AC16+AT16</f>
        <v>976.22</v>
      </c>
      <c r="H16" s="17">
        <f>SUMIF(I$12:AB$12,"总值",I16:AB16)</f>
        <v>976.22</v>
      </c>
      <c r="I16" s="1514"/>
      <c r="J16" s="1514"/>
      <c r="K16" s="1514">
        <v>976.22</v>
      </c>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596.46</v>
      </c>
      <c r="AZ16" s="13">
        <f>BA16+BL16</f>
        <v>976.22</v>
      </c>
      <c r="BA16" s="13">
        <f>SUM(BB16:BK16)</f>
        <v>976.22</v>
      </c>
      <c r="BB16" s="13">
        <f>IF($D16="是",I16-J16,0)</f>
        <v>0</v>
      </c>
      <c r="BC16" s="13">
        <f>IF($D16="是",K16-L16,0)</f>
        <v>976.22</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85" zoomScaleNormal="100" zoomScaleSheetLayoutView="85" workbookViewId="0">
      <selection activeCell="I21" sqref="I2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5" t="s">
        <v>1131</v>
      </c>
      <c r="B2" s="3225"/>
      <c r="C2" s="3225"/>
      <c r="D2" s="748" t="s">
        <v>1107</v>
      </c>
      <c r="E2" s="1523" t="s">
        <v>1108</v>
      </c>
      <c r="F2" s="2439"/>
      <c r="G2" s="2432"/>
      <c r="H2" s="2433"/>
      <c r="I2" s="2146" t="s">
        <v>1132</v>
      </c>
      <c r="J2" s="2439"/>
      <c r="K2" s="2439"/>
      <c r="L2" s="2439"/>
      <c r="M2" s="2439"/>
      <c r="N2" s="2440"/>
      <c r="O2" s="2439"/>
      <c r="P2" s="2439"/>
    </row>
    <row r="3" spans="1:16" ht="15.75" thickBot="1">
      <c r="A3" s="3226" t="s">
        <v>1105</v>
      </c>
      <c r="B3" s="3226"/>
      <c r="C3" s="3226"/>
      <c r="D3" s="41">
        <f>'数据-基础表'!AY6</f>
        <v>2386.36</v>
      </c>
      <c r="E3" s="41">
        <f>'数据-基础表'!AZ5</f>
        <v>3905.76</v>
      </c>
      <c r="F3" s="2439"/>
      <c r="G3" s="42"/>
      <c r="H3" s="43" t="s">
        <v>1106</v>
      </c>
      <c r="I3" s="802">
        <f>ROUND('数据-基础表'!B3/'数据-基础表'!A3,2)</f>
        <v>1.64</v>
      </c>
      <c r="J3" s="2439"/>
      <c r="K3" s="2439"/>
      <c r="L3" s="2439"/>
      <c r="M3" s="2439"/>
      <c r="N3" s="2440"/>
      <c r="O3" s="2439"/>
      <c r="P3" s="2439"/>
    </row>
    <row r="4" spans="1:16" ht="15">
      <c r="A4" s="3227"/>
      <c r="B4" s="3228"/>
      <c r="C4" s="3229"/>
      <c r="D4" s="1524" t="s">
        <v>1107</v>
      </c>
      <c r="E4" s="1525" t="s">
        <v>1108</v>
      </c>
      <c r="F4" s="2439"/>
      <c r="G4" s="2434" t="s">
        <v>1133</v>
      </c>
      <c r="H4" s="43" t="s">
        <v>1113</v>
      </c>
      <c r="I4" s="802">
        <f>ROUND(SUMIF('数据-基础表'!I9:AS9,"地上",'数据-基础表'!I5:AS5)/'数据-基础表'!A3,2)</f>
        <v>1.23</v>
      </c>
      <c r="J4" s="2439"/>
      <c r="K4" s="2439"/>
      <c r="L4" s="2439"/>
      <c r="M4" s="2439"/>
      <c r="N4" s="2440"/>
      <c r="O4" s="2439"/>
      <c r="P4" s="2439"/>
    </row>
    <row r="5" spans="1:16">
      <c r="A5" s="42" t="s">
        <v>1109</v>
      </c>
      <c r="B5" s="3230" t="s">
        <v>1110</v>
      </c>
      <c r="C5" s="3230"/>
      <c r="D5" s="43">
        <f>ROUND($D$3*E5/$E$3,2)</f>
        <v>0</v>
      </c>
      <c r="E5" s="44">
        <f>SUMIF('数据-基础表'!$11:$11,"住宅",'数据-基础表'!$5:$5)</f>
        <v>0</v>
      </c>
      <c r="F5" s="2439"/>
      <c r="G5" s="42"/>
      <c r="H5" s="43" t="s">
        <v>1106</v>
      </c>
      <c r="I5" s="802">
        <f>ROUND(E31/D31,2)</f>
        <v>1.64</v>
      </c>
      <c r="J5" s="2439"/>
      <c r="K5" s="2439"/>
      <c r="L5" s="2439"/>
      <c r="M5" s="2439"/>
      <c r="N5" s="2439"/>
      <c r="O5" s="2439"/>
      <c r="P5" s="2439"/>
    </row>
    <row r="6" spans="1:16" ht="15" thickBot="1">
      <c r="A6" s="1527"/>
      <c r="B6" s="3230" t="s">
        <v>1111</v>
      </c>
      <c r="C6" s="3230"/>
      <c r="D6" s="43">
        <f>ROUND($D$3*E6/$E$3,2)</f>
        <v>2386.36</v>
      </c>
      <c r="E6" s="44">
        <f>E3-E5</f>
        <v>3905.76</v>
      </c>
      <c r="F6" s="2439"/>
      <c r="G6" s="1529" t="s">
        <v>1112</v>
      </c>
      <c r="H6" s="45" t="s">
        <v>1113</v>
      </c>
      <c r="I6" s="2435">
        <f>ROUND(F31/D31,2)</f>
        <v>1.23</v>
      </c>
      <c r="J6" s="2439"/>
      <c r="K6" s="2439"/>
      <c r="L6" s="2439"/>
      <c r="M6" s="2439"/>
      <c r="N6" s="2439"/>
      <c r="O6" s="2439"/>
      <c r="P6" s="2439"/>
    </row>
    <row r="7" spans="1:16" ht="15.75" thickBot="1">
      <c r="A7" s="3222"/>
      <c r="B7" s="3223"/>
      <c r="C7" s="3224"/>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1789.9</v>
      </c>
      <c r="E8" s="46">
        <f>SUMIF('数据-基础表'!BB10:BK10,"地上",'数据-基础表'!BB5:BK5)</f>
        <v>2929.54</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596.46</v>
      </c>
      <c r="E10" s="46">
        <f>SUMPRODUCT(('数据-基础表'!BB10:BK10="地下")*('数据-基础表'!BB11:BK11="商业")*('数据-基础表'!BB5:BK5))</f>
        <v>976.22</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2386.36</v>
      </c>
      <c r="E16" s="48">
        <f>SUM(E8:E15)</f>
        <v>3905.76</v>
      </c>
      <c r="F16" s="2439"/>
      <c r="G16" s="2439"/>
      <c r="H16" s="1531" t="s">
        <v>1135</v>
      </c>
      <c r="I16" s="1532"/>
      <c r="J16" s="1071"/>
      <c r="K16" s="3219" t="s">
        <v>1135</v>
      </c>
      <c r="L16" s="3220"/>
      <c r="M16" s="3220"/>
      <c r="N16" s="3220"/>
      <c r="O16" s="3220"/>
      <c r="P16" s="3221"/>
    </row>
    <row r="17" spans="1:19" ht="15">
      <c r="A17" s="1533" t="s">
        <v>1136</v>
      </c>
      <c r="B17" s="1534" t="s">
        <v>1137</v>
      </c>
      <c r="C17" s="1535" t="s">
        <v>1138</v>
      </c>
      <c r="D17" s="1536" t="s">
        <v>1126</v>
      </c>
      <c r="E17" s="1537" t="s">
        <v>1127</v>
      </c>
      <c r="F17" s="1538"/>
      <c r="G17" s="1539"/>
      <c r="H17" s="1540" t="s">
        <v>1139</v>
      </c>
      <c r="I17" s="1541" t="s">
        <v>1124</v>
      </c>
      <c r="J17" s="1071"/>
      <c r="K17" s="3216" t="s">
        <v>1140</v>
      </c>
      <c r="L17" s="3217"/>
      <c r="M17" s="3218"/>
      <c r="N17" s="3216" t="s">
        <v>1141</v>
      </c>
      <c r="O17" s="3217"/>
      <c r="P17" s="321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会所</v>
      </c>
      <c r="D19" s="43">
        <f>ROUND($D$3*E19/$E$3,2)</f>
        <v>2386.36</v>
      </c>
      <c r="E19" s="51">
        <f t="shared" ref="E19:E26" si="1">SUM(F19:G19)</f>
        <v>3905.76</v>
      </c>
      <c r="F19" s="2558">
        <f>'数据-基础表'!I13+'数据-基础表'!I14+'数据-基础表'!I15</f>
        <v>2929.54</v>
      </c>
      <c r="G19" s="1243">
        <f>'数据-基础表'!K16</f>
        <v>976.22</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2386.36</v>
      </c>
      <c r="S19" s="51">
        <f t="shared" si="5"/>
        <v>3905.76</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2386.36</v>
      </c>
      <c r="E27" s="1073">
        <f>IF(SUM(E19:E26)='数据-基础表'!BA5,SUM(E19:E26),IF(F27="地上面积有误","面积有误","地下面积有误"))</f>
        <v>3905.76</v>
      </c>
      <c r="F27" s="1072">
        <f>IF(SUM(F19:F26)=E8,SUM(F19:F26),"地上面积有误")</f>
        <v>2929.54</v>
      </c>
      <c r="G27" s="1074">
        <f>SUM(G19:G26)</f>
        <v>976.22</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2386.36</v>
      </c>
      <c r="S27" s="43">
        <f>IF(SUM(S19:S26)=$E$3,SUM(S19:S26),SUM(S19:S26)&amp;"误差"&amp;ROUND(SUM(S19:S26)-E3,2))</f>
        <v>3905.76</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2386.36</v>
      </c>
      <c r="E31" s="643">
        <f>E27+E30</f>
        <v>3905.76</v>
      </c>
      <c r="F31" s="644">
        <f>F27+F30</f>
        <v>2929.54</v>
      </c>
      <c r="G31" s="645">
        <f>G27+G30</f>
        <v>976.22</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Q40" sqref="Q4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45629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会所</v>
      </c>
      <c r="B6" s="1587" t="str">
        <f>IF(A6=0,"","经营性")</f>
        <v>经营性</v>
      </c>
      <c r="C6" s="1588" t="s">
        <v>673</v>
      </c>
      <c r="D6" s="805">
        <f>SUMIF(项目基本情况!C$12:I$12,C6,项目基本情况!C$14:I$14)</f>
        <v>40</v>
      </c>
      <c r="E6" s="804">
        <f>IF(B6="","",SUMIF(项目基本情况!C$12:I$12,C6,项目基本情况!C$13:I$13))</f>
        <v>52190</v>
      </c>
      <c r="F6" s="61">
        <f>SUMIF(项目基本情况!C$12:I$12,C6,项目基本情况!C$15:I$15)</f>
        <v>17.97</v>
      </c>
      <c r="G6" s="62">
        <f>IF(ISERROR(ROUND(POWER(1+H6,D6-F6)*(POWER(1+H6,F6)-1)/(POWER(1+H6,D6)-1),3)),0,ROUND(POWER(1+H6,D6-F6)*(POWER(1+H6,F6)-1)/(POWER(1+H6,D6)-1),3))</f>
        <v>0.7</v>
      </c>
      <c r="H6" s="691">
        <v>5.5E-2</v>
      </c>
      <c r="I6" s="691">
        <v>0.06</v>
      </c>
      <c r="J6" s="63">
        <v>7.4999999999999997E-2</v>
      </c>
      <c r="K6" s="970">
        <f>SUMIF('数据-汇总表'!C$19:C$33,A6,'数据-汇总表'!E$19:E$33)</f>
        <v>3905.76</v>
      </c>
      <c r="L6" s="692">
        <v>3500</v>
      </c>
      <c r="M6" s="64">
        <f t="shared" ref="M6:M14" si="0">ROUND(K6*L6/10000,0)</f>
        <v>1367</v>
      </c>
      <c r="N6" s="690">
        <f>ROUND((1-(2024-2004)/60+80%)/2,2)</f>
        <v>0.73</v>
      </c>
      <c r="O6" s="64" t="str">
        <f>IF($N$5="成新度","——",ROUND(M6*N6,0))</f>
        <v>——</v>
      </c>
      <c r="P6" s="65" t="str">
        <f>IF($N$5="成新度","——",M6-O6)</f>
        <v>——</v>
      </c>
      <c r="Q6" s="693">
        <v>0.2</v>
      </c>
      <c r="R6" s="66">
        <f ca="1">SUMIF('数据-汇总表'!C$19:C$33,A6,'数据-汇总表'!R$19:R$27)</f>
        <v>2386.36</v>
      </c>
      <c r="S6" s="49">
        <f>IF('数据-汇总表'!$I$17="按面积比例",SUMIF('数据-汇总表'!C$19:C$33,A6,'数据-汇总表'!K$19:K$33),SUMIF('数据-汇总表'!C$19:C$33,A6,'数据-汇总表'!N$19:N$33))</f>
        <v>0</v>
      </c>
      <c r="T6" s="1092">
        <f>ROUND($L$14*S6/10000,0)</f>
        <v>0</v>
      </c>
      <c r="U6" s="3127">
        <f>X25</f>
        <v>5.69</v>
      </c>
      <c r="V6" s="67">
        <v>0.02</v>
      </c>
      <c r="W6" s="67">
        <v>0.1</v>
      </c>
      <c r="X6" s="979"/>
      <c r="Y6" s="68">
        <f>N6</f>
        <v>0.73</v>
      </c>
      <c r="Z6" s="69"/>
      <c r="AA6" s="63"/>
      <c r="AB6" s="63"/>
      <c r="AC6" s="979"/>
      <c r="AD6" s="70"/>
      <c r="AE6" s="980">
        <f ca="1">IF(AN6="",0,SUMIF(INDIRECT("'"&amp;AN6&amp;"'"&amp;"!E:E"),$AE$5,INDIRECT("'"&amp;AN6&amp;"'"&amp;"!F:F")))</f>
        <v>17.97</v>
      </c>
      <c r="AF6" s="74"/>
      <c r="AG6" s="130">
        <f>IF(AF6="",0,AE6-AF6)</f>
        <v>0</v>
      </c>
      <c r="AH6" s="71"/>
      <c r="AI6" s="73">
        <v>365</v>
      </c>
      <c r="AJ6" s="74"/>
      <c r="AK6" s="75">
        <v>2E-3</v>
      </c>
      <c r="AL6" s="76">
        <v>1E-3</v>
      </c>
      <c r="AM6" s="77">
        <v>0.01</v>
      </c>
      <c r="AN6" s="1589" t="s">
        <v>3394</v>
      </c>
      <c r="AO6" s="50">
        <f ca="1">SUMIF(INDIRECT("'"&amp;AN6&amp;"'"&amp;"!A:A"),"总价",INDIRECT("'"&amp;AN6&amp;"'"&amp;"!B:B"))</f>
        <v>7636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v>
      </c>
      <c r="H16" s="84">
        <f>ROUND(SUMPRODUCT(H6:H13,K6:K13)/SUMPRODUCT((H6:H13&gt;0)*(K6:K13)),3)</f>
        <v>5.5E-2</v>
      </c>
      <c r="I16" s="85"/>
      <c r="J16" s="85"/>
      <c r="K16" s="86">
        <f>SUM(K6:K15)</f>
        <v>3905.76</v>
      </c>
      <c r="L16" s="87">
        <f>ROUND(M16*10000/SUM(K6:K14),0)</f>
        <v>3500</v>
      </c>
      <c r="M16" s="87">
        <f>SUM(M6:M14)</f>
        <v>1367</v>
      </c>
      <c r="N16" s="88">
        <f>ROUND(SUMPRODUCT(M6:M14,N6:N14)/M16,3)</f>
        <v>0.73</v>
      </c>
      <c r="O16" s="87">
        <f>SUM(O6:O14)</f>
        <v>0</v>
      </c>
      <c r="P16" s="87">
        <f>SUM(P6:P14)</f>
        <v>0</v>
      </c>
      <c r="Q16" s="89">
        <f>ROUND(SUMPRODUCT(Q6:Q13,K6:K13)/SUMPRODUCT((Q6:Q13&gt;0)*(K6:K13)),2)</f>
        <v>0.2</v>
      </c>
      <c r="R16" s="974">
        <f ca="1">SUM(R6:R13)</f>
        <v>2386.36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2450"/>
      <c r="M20" s="2449"/>
      <c r="N20" s="2449"/>
      <c r="O20" s="2449"/>
      <c r="P20" s="2449"/>
      <c r="Q20" s="2449"/>
      <c r="R20" s="2449"/>
      <c r="S20" s="2449"/>
      <c r="T20" s="2449"/>
      <c r="U20" s="3481" t="s">
        <v>3389</v>
      </c>
      <c r="V20" s="3481" t="s">
        <v>3390</v>
      </c>
      <c r="W20" s="3481" t="s">
        <v>3393</v>
      </c>
      <c r="X20" s="3481" t="s">
        <v>3392</v>
      </c>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v>1</v>
      </c>
      <c r="V21" s="2449">
        <v>1</v>
      </c>
      <c r="W21" s="2449">
        <f>'数据-基础表'!I13</f>
        <v>1330.07</v>
      </c>
      <c r="X21" s="2449">
        <v>8</v>
      </c>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v>2</v>
      </c>
      <c r="V22" s="2449">
        <v>0.7</v>
      </c>
      <c r="W22" s="2449">
        <f>'数据-基础表'!I14</f>
        <v>968.83</v>
      </c>
      <c r="X22" s="2449">
        <f>X21*V22</f>
        <v>5.6</v>
      </c>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v>3</v>
      </c>
      <c r="V23" s="2449">
        <v>0.6</v>
      </c>
      <c r="W23" s="2449">
        <f>'数据-基础表'!I15</f>
        <v>630.64</v>
      </c>
      <c r="X23" s="2449">
        <f>X21*V23</f>
        <v>4.8</v>
      </c>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v>-1</v>
      </c>
      <c r="V24" s="2449">
        <v>0.4</v>
      </c>
      <c r="W24" s="2449">
        <f>'数据-基础表'!K16</f>
        <v>976.22</v>
      </c>
      <c r="X24" s="2449">
        <f>X21*V24</f>
        <v>3.2</v>
      </c>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f>SUM(W21:W24)</f>
        <v>3905.76</v>
      </c>
      <c r="X25" s="2449">
        <f>ROUND((X21*W21+X22*W22+X23*W23+X24*W24)/W25,2)</f>
        <v>5.69</v>
      </c>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2284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3367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2285</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3368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2287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2287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2302</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2296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3</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303</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1" t="s">
        <v>2276</v>
      </c>
      <c r="B1" s="3232"/>
      <c r="C1" s="3232"/>
      <c r="D1" s="3232"/>
      <c r="E1" s="3232"/>
      <c r="F1" s="3232"/>
      <c r="G1" s="323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2273</v>
      </c>
      <c r="D2" s="1595"/>
      <c r="E2" s="2260"/>
      <c r="F2" s="2263"/>
      <c r="G2" s="2262" t="s">
        <v>2274</v>
      </c>
      <c r="H2" s="751"/>
      <c r="I2" s="751"/>
      <c r="J2" s="751"/>
      <c r="K2" s="751"/>
      <c r="L2" s="751"/>
      <c r="M2" s="751"/>
      <c r="N2" s="751"/>
      <c r="O2" s="751"/>
      <c r="P2" s="751"/>
      <c r="Q2" s="751"/>
    </row>
    <row r="3" spans="1:29" ht="24">
      <c r="A3" s="2247" t="s">
        <v>2275</v>
      </c>
      <c r="B3" s="2264" t="s">
        <v>2251</v>
      </c>
      <c r="C3" s="2265"/>
      <c r="D3" s="2266"/>
      <c r="E3" s="2248" t="s">
        <v>2275</v>
      </c>
      <c r="F3" s="2267" t="s">
        <v>2252</v>
      </c>
      <c r="G3" s="2268"/>
      <c r="H3" s="751"/>
      <c r="I3" s="751"/>
      <c r="J3" s="751"/>
      <c r="K3" s="751"/>
      <c r="L3" s="751"/>
      <c r="M3" s="751"/>
      <c r="N3" s="751"/>
      <c r="O3" s="751"/>
      <c r="P3" s="751"/>
      <c r="Q3" s="751"/>
    </row>
    <row r="4" spans="1:29">
      <c r="A4" s="2248"/>
      <c r="B4" s="315" t="s">
        <v>2253</v>
      </c>
      <c r="C4" s="2269"/>
      <c r="D4" s="2266"/>
      <c r="E4" s="2270"/>
      <c r="F4" s="1281" t="s">
        <v>2254</v>
      </c>
      <c r="G4" s="2271"/>
      <c r="H4" s="751"/>
      <c r="I4" s="751"/>
      <c r="J4" s="751"/>
      <c r="K4" s="751"/>
      <c r="L4" s="751"/>
      <c r="M4" s="751"/>
      <c r="N4" s="751"/>
      <c r="O4" s="751"/>
      <c r="P4" s="751"/>
      <c r="Q4" s="751"/>
    </row>
    <row r="5" spans="1:29">
      <c r="A5" s="2248"/>
      <c r="B5" s="315" t="s">
        <v>2255</v>
      </c>
      <c r="C5" s="2269"/>
      <c r="D5" s="2266"/>
      <c r="E5" s="2270"/>
      <c r="F5" s="315" t="s">
        <v>2256</v>
      </c>
      <c r="G5" s="2271"/>
      <c r="H5" s="751"/>
      <c r="I5" s="751"/>
      <c r="J5" s="751"/>
      <c r="K5" s="751"/>
      <c r="L5" s="751"/>
      <c r="M5" s="751"/>
      <c r="N5" s="751"/>
      <c r="O5" s="751"/>
      <c r="P5" s="751"/>
      <c r="Q5" s="751"/>
    </row>
    <row r="6" spans="1:29">
      <c r="A6" s="2248"/>
      <c r="B6" s="315" t="s">
        <v>2257</v>
      </c>
      <c r="C6" s="2271"/>
      <c r="D6" s="2266"/>
      <c r="E6" s="2270"/>
      <c r="F6" s="315" t="s">
        <v>2258</v>
      </c>
      <c r="G6" s="2271"/>
      <c r="H6" s="751"/>
      <c r="I6" s="751"/>
      <c r="J6" s="751"/>
      <c r="K6" s="751"/>
      <c r="L6" s="751"/>
      <c r="M6" s="751"/>
      <c r="N6" s="751"/>
      <c r="O6" s="751"/>
      <c r="P6" s="751"/>
      <c r="Q6" s="751"/>
    </row>
    <row r="7" spans="1:29" ht="15" thickBot="1">
      <c r="A7" s="2248"/>
      <c r="B7" s="315" t="s">
        <v>2256</v>
      </c>
      <c r="C7" s="2271"/>
      <c r="D7" s="2245"/>
      <c r="E7" s="2272"/>
      <c r="F7" s="2273" t="s">
        <v>2259</v>
      </c>
      <c r="G7" s="2274"/>
      <c r="H7" s="751"/>
      <c r="I7" s="751"/>
      <c r="J7" s="751"/>
      <c r="K7" s="751"/>
      <c r="L7" s="751"/>
      <c r="M7" s="751"/>
      <c r="N7" s="751"/>
      <c r="O7" s="751"/>
      <c r="P7" s="751"/>
      <c r="Q7" s="751"/>
    </row>
    <row r="8" spans="1:29">
      <c r="A8" s="2248"/>
      <c r="B8" s="315" t="s">
        <v>2258</v>
      </c>
      <c r="C8" s="2271"/>
      <c r="D8" s="2245"/>
      <c r="E8" s="2245"/>
      <c r="F8" s="121"/>
      <c r="G8" s="121"/>
      <c r="H8" s="751"/>
      <c r="I8" s="751"/>
      <c r="J8" s="751"/>
      <c r="K8" s="751"/>
      <c r="L8" s="751"/>
      <c r="M8" s="751"/>
      <c r="N8" s="751"/>
      <c r="O8" s="751"/>
      <c r="P8" s="751"/>
      <c r="Q8" s="751"/>
    </row>
    <row r="9" spans="1:29">
      <c r="A9" s="2248"/>
      <c r="B9" s="315" t="s">
        <v>2260</v>
      </c>
      <c r="C9" s="2269"/>
      <c r="D9" s="2266"/>
      <c r="E9" s="2245"/>
      <c r="F9" s="121"/>
      <c r="G9" s="121"/>
      <c r="H9" s="751"/>
      <c r="I9" s="751"/>
      <c r="J9" s="751"/>
      <c r="K9" s="751"/>
      <c r="L9" s="751"/>
      <c r="M9" s="751"/>
      <c r="N9" s="751"/>
      <c r="O9" s="751"/>
      <c r="P9" s="751"/>
      <c r="Q9" s="751"/>
    </row>
    <row r="10" spans="1:29" ht="15" thickBot="1">
      <c r="A10" s="2249"/>
      <c r="B10" s="2275" t="s">
        <v>2261</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2277</v>
      </c>
      <c r="B13" s="2280"/>
      <c r="C13" s="2280"/>
      <c r="D13" s="2279"/>
      <c r="E13" s="2280"/>
      <c r="F13" s="2280"/>
      <c r="G13" s="2280"/>
    </row>
    <row r="14" spans="1:29" ht="15" thickBot="1">
      <c r="A14" s="2285"/>
      <c r="B14" s="2285"/>
      <c r="C14" s="2286" t="s">
        <v>2262</v>
      </c>
      <c r="D14" s="2266"/>
      <c r="E14" s="2287"/>
      <c r="F14" s="2287"/>
      <c r="G14" s="2262" t="s">
        <v>2263</v>
      </c>
    </row>
    <row r="15" spans="1:29" ht="51">
      <c r="A15" s="2250" t="s">
        <v>2264</v>
      </c>
      <c r="B15" s="2288" t="s">
        <v>2251</v>
      </c>
      <c r="C15" s="2289">
        <f>C3</f>
        <v>0</v>
      </c>
      <c r="D15" s="2266"/>
      <c r="E15" s="2251" t="s">
        <v>2265</v>
      </c>
      <c r="F15" s="2288" t="s">
        <v>2266</v>
      </c>
      <c r="G15" s="2290">
        <f>G3</f>
        <v>0</v>
      </c>
    </row>
    <row r="16" spans="1:29" ht="38.25">
      <c r="A16" s="2252"/>
      <c r="B16" s="2291" t="s">
        <v>2253</v>
      </c>
      <c r="C16" s="2292">
        <f>C4</f>
        <v>0</v>
      </c>
      <c r="D16" s="2266"/>
      <c r="E16" s="2253"/>
      <c r="F16" s="2293" t="s">
        <v>2254</v>
      </c>
      <c r="G16" s="2294">
        <f>G4</f>
        <v>0</v>
      </c>
    </row>
    <row r="17" spans="1:17" ht="38.25">
      <c r="A17" s="2252"/>
      <c r="B17" s="2291" t="s">
        <v>2255</v>
      </c>
      <c r="C17" s="2292">
        <f>C5</f>
        <v>0</v>
      </c>
      <c r="D17" s="2245"/>
      <c r="E17" s="2253"/>
      <c r="F17" s="2293" t="s">
        <v>2267</v>
      </c>
      <c r="G17" s="2295"/>
    </row>
    <row r="18" spans="1:17" ht="38.25">
      <c r="A18" s="2252"/>
      <c r="B18" s="2293" t="s">
        <v>2257</v>
      </c>
      <c r="C18" s="2294">
        <f>C6</f>
        <v>0</v>
      </c>
      <c r="D18" s="2245"/>
      <c r="E18" s="2253"/>
      <c r="F18" s="2293" t="s">
        <v>2259</v>
      </c>
      <c r="G18" s="2294">
        <f>G7</f>
        <v>0</v>
      </c>
    </row>
    <row r="19" spans="1:17" ht="25.5">
      <c r="A19" s="2252"/>
      <c r="B19" s="2293" t="s">
        <v>2268</v>
      </c>
      <c r="C19" s="2295"/>
      <c r="D19" s="2266"/>
      <c r="E19" s="2253"/>
      <c r="F19" s="315" t="s">
        <v>2256</v>
      </c>
      <c r="G19" s="2294">
        <f>G5</f>
        <v>0</v>
      </c>
    </row>
    <row r="20" spans="1:17" ht="25.5">
      <c r="A20" s="2252"/>
      <c r="B20" s="2293" t="s">
        <v>2269</v>
      </c>
      <c r="C20" s="2292">
        <f>C9</f>
        <v>0</v>
      </c>
      <c r="D20" s="2245"/>
      <c r="E20" s="2253"/>
      <c r="F20" s="315" t="s">
        <v>2258</v>
      </c>
      <c r="G20" s="2294">
        <f>G6</f>
        <v>0</v>
      </c>
    </row>
    <row r="21" spans="1:17" ht="25.5">
      <c r="A21" s="2252"/>
      <c r="B21" s="315" t="s">
        <v>2256</v>
      </c>
      <c r="C21" s="2294">
        <f>C7</f>
        <v>0</v>
      </c>
      <c r="D21" s="2266"/>
      <c r="E21" s="2253"/>
      <c r="F21" s="2293" t="s">
        <v>2270</v>
      </c>
      <c r="G21" s="2296"/>
    </row>
    <row r="22" spans="1:17" ht="13.5" customHeight="1">
      <c r="A22" s="2252"/>
      <c r="B22" s="315" t="s">
        <v>2258</v>
      </c>
      <c r="C22" s="2294">
        <f>C8</f>
        <v>0</v>
      </c>
      <c r="D22" s="2266"/>
      <c r="E22" s="2253"/>
      <c r="F22" s="2293" t="s">
        <v>2261</v>
      </c>
      <c r="G22" s="2295"/>
    </row>
    <row r="23" spans="1:17" s="751" customFormat="1" ht="15" thickBot="1">
      <c r="A23" s="2252"/>
      <c r="B23" s="2293" t="s">
        <v>2270</v>
      </c>
      <c r="C23" s="2296"/>
      <c r="D23" s="1614"/>
      <c r="E23" s="2254"/>
      <c r="F23" s="2297" t="s">
        <v>2271</v>
      </c>
      <c r="G23" s="2298"/>
      <c r="H23" s="2277"/>
      <c r="I23" s="2277"/>
      <c r="J23" s="2277"/>
      <c r="K23" s="2277"/>
      <c r="L23" s="2277"/>
      <c r="M23" s="2277"/>
      <c r="N23" s="2277"/>
      <c r="O23" s="2277"/>
      <c r="P23" s="2277"/>
      <c r="Q23" s="2277"/>
    </row>
    <row r="24" spans="1:17" s="751" customFormat="1" ht="15" thickBot="1">
      <c r="A24" s="2255"/>
      <c r="B24" s="2297" t="s">
        <v>2272</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20" sqref="B20"/>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45629</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t="e">
        <f ca="1">IF(B5=D14,结果表!H102,ROUND(B5*10000/$B$1,0))</f>
        <v>#REF!</v>
      </c>
      <c r="D5" s="2300" t="e">
        <f>ROUND(B5*10000/$B$2,0)</f>
        <v>#DIV/0!</v>
      </c>
      <c r="E5" s="2462"/>
      <c r="F5" s="2463"/>
      <c r="G5" s="2463"/>
      <c r="H5" s="2463"/>
      <c r="I5" s="2463"/>
      <c r="J5" s="2463"/>
      <c r="K5" s="2463"/>
    </row>
    <row r="6" spans="1:11" ht="16.5">
      <c r="A6" s="2300" t="s">
        <v>656</v>
      </c>
      <c r="B6" s="2300">
        <f>SUM(G14:G23)</f>
        <v>0</v>
      </c>
      <c r="C6" s="2300" t="e">
        <f ca="1">IF(B6=G14,结果表!H108,ROUND(B6*10000/$B$1,0))</f>
        <v>#REF!</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8" sqref="H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3406</v>
      </c>
      <c r="H1" s="1621" t="str">
        <f>IF(G1="现房","——","估价对象范围")</f>
        <v>——</v>
      </c>
      <c r="I1" s="1622" t="s">
        <v>3407</v>
      </c>
    </row>
    <row r="2" spans="1:12" ht="21.75" customHeight="1" thickBot="1">
      <c r="A2" s="3267" t="str">
        <f>项目基本情况!S2</f>
        <v>北京市房地产</v>
      </c>
      <c r="B2" s="3268"/>
      <c r="C2" s="3268"/>
      <c r="D2" s="3268"/>
      <c r="E2" s="3268"/>
      <c r="F2" s="3268"/>
      <c r="G2" s="3268"/>
      <c r="H2" s="3268"/>
      <c r="I2" s="3269"/>
    </row>
    <row r="3" spans="1:12" ht="12.75">
      <c r="A3" s="3271" t="s">
        <v>1264</v>
      </c>
      <c r="B3" s="3272"/>
      <c r="C3" s="3272"/>
      <c r="D3" s="3272"/>
      <c r="E3" s="3272"/>
      <c r="F3" s="3272"/>
      <c r="G3" s="3272"/>
      <c r="H3" s="3272"/>
      <c r="I3" s="3272"/>
    </row>
    <row r="4" spans="1:12" ht="14.25">
      <c r="A4" s="1624" t="s">
        <v>1265</v>
      </c>
      <c r="B4" s="1625" t="s">
        <v>1266</v>
      </c>
      <c r="C4" s="1626" t="s">
        <v>3409</v>
      </c>
      <c r="D4" s="1626" t="s">
        <v>3394</v>
      </c>
      <c r="E4" s="3273" t="s">
        <v>1267</v>
      </c>
      <c r="F4" s="3274"/>
      <c r="G4" s="3274"/>
      <c r="H4" s="3274"/>
      <c r="I4" s="327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47" t="s">
        <v>1268</v>
      </c>
      <c r="B5" s="3234">
        <v>25</v>
      </c>
      <c r="C5" s="3250"/>
      <c r="D5" s="3270"/>
      <c r="E5" s="123" t="s">
        <v>1269</v>
      </c>
      <c r="F5" s="1627"/>
      <c r="G5" s="1627"/>
      <c r="H5" s="1627"/>
      <c r="I5" s="1281"/>
    </row>
    <row r="6" spans="1:12" ht="12.75">
      <c r="A6" s="3247"/>
      <c r="B6" s="3234"/>
      <c r="C6" s="3251"/>
      <c r="D6" s="3270"/>
      <c r="E6" s="123" t="s">
        <v>1270</v>
      </c>
      <c r="F6" s="1627"/>
      <c r="G6" s="1627"/>
      <c r="H6" s="1627"/>
      <c r="I6" s="1281"/>
    </row>
    <row r="7" spans="1:12" ht="12.75">
      <c r="A7" s="3247"/>
      <c r="B7" s="3234"/>
      <c r="C7" s="3252"/>
      <c r="D7" s="3270"/>
      <c r="E7" s="123" t="s">
        <v>1271</v>
      </c>
      <c r="F7" s="1627"/>
      <c r="G7" s="1627"/>
      <c r="H7" s="1627"/>
      <c r="I7" s="1281"/>
    </row>
    <row r="8" spans="1:12" ht="12.75">
      <c r="A8" s="3247" t="s">
        <v>1272</v>
      </c>
      <c r="B8" s="3234">
        <v>15</v>
      </c>
      <c r="C8" s="3250"/>
      <c r="D8" s="3270"/>
      <c r="E8" s="123" t="s">
        <v>1273</v>
      </c>
      <c r="F8" s="1627"/>
      <c r="G8" s="1627"/>
      <c r="H8" s="1627"/>
      <c r="I8" s="1281"/>
    </row>
    <row r="9" spans="1:12" ht="12.75">
      <c r="A9" s="3247"/>
      <c r="B9" s="3234"/>
      <c r="C9" s="3252"/>
      <c r="D9" s="3270"/>
      <c r="E9" s="123" t="s">
        <v>1274</v>
      </c>
      <c r="F9" s="1627"/>
      <c r="G9" s="1627"/>
      <c r="H9" s="1627"/>
      <c r="I9" s="1281"/>
    </row>
    <row r="10" spans="1:12" ht="12.75">
      <c r="A10" s="3247" t="s">
        <v>1275</v>
      </c>
      <c r="B10" s="3234">
        <v>15</v>
      </c>
      <c r="C10" s="3250"/>
      <c r="D10" s="3270"/>
      <c r="E10" s="123" t="s">
        <v>1276</v>
      </c>
      <c r="F10" s="1627"/>
      <c r="G10" s="1627"/>
      <c r="H10" s="1627"/>
      <c r="I10" s="1281"/>
    </row>
    <row r="11" spans="1:12" ht="12.75">
      <c r="A11" s="3247"/>
      <c r="B11" s="3234"/>
      <c r="C11" s="3252"/>
      <c r="D11" s="3270"/>
      <c r="E11" s="123" t="s">
        <v>1277</v>
      </c>
      <c r="F11" s="1627"/>
      <c r="G11" s="1627"/>
      <c r="H11" s="1627"/>
      <c r="I11" s="1281"/>
    </row>
    <row r="12" spans="1:12" ht="12.75">
      <c r="A12" s="3247" t="s">
        <v>1278</v>
      </c>
      <c r="B12" s="3234">
        <v>15</v>
      </c>
      <c r="C12" s="3250"/>
      <c r="D12" s="3270"/>
      <c r="E12" s="123" t="s">
        <v>1279</v>
      </c>
      <c r="F12" s="1627"/>
      <c r="G12" s="1627"/>
      <c r="H12" s="1627"/>
      <c r="I12" s="1281"/>
    </row>
    <row r="13" spans="1:12" ht="12.75">
      <c r="A13" s="3247"/>
      <c r="B13" s="3234"/>
      <c r="C13" s="3252"/>
      <c r="D13" s="3270"/>
      <c r="E13" s="123" t="s">
        <v>1280</v>
      </c>
      <c r="F13" s="1627"/>
      <c r="G13" s="1627"/>
      <c r="H13" s="1627"/>
      <c r="I13" s="1281"/>
    </row>
    <row r="14" spans="1:12" ht="12.75">
      <c r="A14" s="3247" t="s">
        <v>1281</v>
      </c>
      <c r="B14" s="3234">
        <v>30</v>
      </c>
      <c r="C14" s="3250">
        <v>5</v>
      </c>
      <c r="D14" s="3270">
        <v>5</v>
      </c>
      <c r="E14" s="123" t="s">
        <v>1282</v>
      </c>
      <c r="F14" s="1627"/>
      <c r="G14" s="1627"/>
      <c r="H14" s="1627"/>
      <c r="I14" s="1281"/>
    </row>
    <row r="15" spans="1:12" ht="12.75">
      <c r="A15" s="3247"/>
      <c r="B15" s="3234"/>
      <c r="C15" s="3251"/>
      <c r="D15" s="3270"/>
      <c r="E15" s="123" t="s">
        <v>1283</v>
      </c>
      <c r="F15" s="1627"/>
      <c r="G15" s="1627"/>
      <c r="H15" s="1627"/>
      <c r="I15" s="1281"/>
    </row>
    <row r="16" spans="1:12" ht="12.75">
      <c r="A16" s="3247"/>
      <c r="B16" s="3234"/>
      <c r="C16" s="3252"/>
      <c r="D16" s="3270"/>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57" t="s">
        <v>2130</v>
      </c>
      <c r="F18" s="3258"/>
      <c r="G18" s="3258"/>
      <c r="H18" s="3258"/>
      <c r="I18" s="3258"/>
      <c r="K18" s="294" t="s">
        <v>1289</v>
      </c>
      <c r="L18" s="294">
        <f>IF(C1="",'数据-汇总表'!E3,SUMIF(项目类型,C1,'数据-汇总表'!E17:E26)+SUMIF(项目类型,C1,'数据-汇总表'!I17:I26))</f>
        <v>3905.76</v>
      </c>
      <c r="M18" s="294">
        <f>IF(C1="",'数据-汇总表'!E3,SUMIF(项目类型,C1,'数据-汇总表'!E17:E26))</f>
        <v>3905.76</v>
      </c>
    </row>
    <row r="19" spans="1:36" ht="15">
      <c r="A19" s="1630" t="s">
        <v>1290</v>
      </c>
      <c r="B19" s="1631" t="s">
        <v>1291</v>
      </c>
      <c r="C19" s="126">
        <f ca="1">SUMIF(INDIRECT("'"&amp;C4&amp;"'"&amp;"!A:A"),结果表!B19,INDIRECT("'"&amp;C4&amp;"'"&amp;"!B:B"))</f>
        <v>9770</v>
      </c>
      <c r="D19" s="127">
        <f ca="1">SUMIF(INDIRECT("'"&amp;D4&amp;"'"&amp;"!A:A"),结果表!B19,INDIRECT("'"&amp;D4&amp;"'"&amp;"!B:B"))</f>
        <v>7636</v>
      </c>
      <c r="E19" s="1630" t="s">
        <v>1292</v>
      </c>
      <c r="F19" s="1631" t="s">
        <v>1291</v>
      </c>
      <c r="G19" s="128">
        <f ca="1">ROUND(C19*$C$18+D19*$D$18,0)</f>
        <v>8703</v>
      </c>
      <c r="H19" s="1632" t="s">
        <v>1293</v>
      </c>
      <c r="I19" s="121"/>
      <c r="K19" s="294" t="s">
        <v>1294</v>
      </c>
      <c r="L19" s="294">
        <f>IF(C1="",'数据-汇总表'!D3,SUMIF(项目类型,C1,'数据-汇总表'!D17:D26)+SUMIF(项目类型,C1,'数据-汇总表'!H17:H27))</f>
        <v>2386.36</v>
      </c>
      <c r="M19" s="294">
        <f>IF(C1="",'数据-汇总表'!D3,SUMIF(项目类型,C1,'数据-汇总表'!D17:D26))</f>
        <v>2386.36</v>
      </c>
    </row>
    <row r="20" spans="1:36" ht="15">
      <c r="A20" s="1633"/>
      <c r="B20" s="43" t="s">
        <v>1295</v>
      </c>
      <c r="C20" s="129">
        <f ca="1">SUMIF(INDIRECT("'"&amp;C4&amp;"'"&amp;"!A:A"),结果表!B20,INDIRECT("'"&amp;C4&amp;"'"&amp;"!B:B"))</f>
        <v>25014</v>
      </c>
      <c r="D20" s="130">
        <f ca="1">SUMIF(INDIRECT("'"&amp;D4&amp;"'"&amp;"!A:A"),结果表!B20,INDIRECT("'"&amp;D4&amp;"'"&amp;"!B:B"))</f>
        <v>19551</v>
      </c>
      <c r="E20" s="1633"/>
      <c r="F20" s="43" t="s">
        <v>1295</v>
      </c>
      <c r="G20" s="131">
        <f ca="1">ROUND(C20*$C$18+D20*$D$18,0)</f>
        <v>22283</v>
      </c>
      <c r="H20" s="760" t="s">
        <v>1296</v>
      </c>
      <c r="I20" s="121"/>
    </row>
    <row r="21" spans="1:36" ht="15" customHeight="1" thickBot="1">
      <c r="A21" s="449"/>
      <c r="B21" s="93" t="s">
        <v>1297</v>
      </c>
      <c r="C21" s="678">
        <f ca="1">ROUND(C19*10000/L19,0)</f>
        <v>40941</v>
      </c>
      <c r="D21" s="679">
        <f ca="1">ROUND(D19*10000/L19,0)</f>
        <v>31999</v>
      </c>
      <c r="E21" s="449"/>
      <c r="F21" s="93" t="s">
        <v>1297</v>
      </c>
      <c r="G21" s="132">
        <f ca="1">ROUND(G19*10000/L19,0)</f>
        <v>36470</v>
      </c>
      <c r="H21" s="1634" t="s">
        <v>1296</v>
      </c>
      <c r="I21" s="121"/>
    </row>
    <row r="22" spans="1:36" ht="15" thickBot="1">
      <c r="A22" s="1564" t="s">
        <v>1298</v>
      </c>
      <c r="B22" s="1635"/>
      <c r="C22" s="1636"/>
      <c r="D22" s="680">
        <f ca="1">IF(C19&lt;D19,D19/C19-1,C19/D19-1)</f>
        <v>0.27946568884232592</v>
      </c>
      <c r="E22" s="121"/>
      <c r="F22" s="121"/>
      <c r="G22" s="121"/>
      <c r="H22" s="121"/>
      <c r="I22" s="121"/>
    </row>
    <row r="23" spans="1:36" ht="13.5" thickBot="1">
      <c r="A23" s="646"/>
      <c r="B23" s="646"/>
      <c r="C23" s="646"/>
      <c r="D23" s="646"/>
      <c r="E23" s="121"/>
      <c r="F23" s="121"/>
      <c r="G23" s="121"/>
      <c r="H23" s="121"/>
      <c r="I23" s="121"/>
    </row>
    <row r="24" spans="1:36" ht="14.25">
      <c r="A24" s="3241" t="s">
        <v>1299</v>
      </c>
      <c r="B24" s="1631" t="s">
        <v>1291</v>
      </c>
      <c r="C24" s="128">
        <f>IF(B30=0,0,D30)</f>
        <v>0</v>
      </c>
      <c r="D24" s="1637"/>
      <c r="E24" s="121"/>
      <c r="F24" s="121"/>
      <c r="G24" s="121"/>
      <c r="H24" s="121"/>
      <c r="I24" s="121"/>
    </row>
    <row r="25" spans="1:36" ht="14.25">
      <c r="A25" s="324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22283</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61" t="s">
        <v>1312</v>
      </c>
      <c r="B36" s="1652" t="s">
        <v>1313</v>
      </c>
      <c r="C36" s="137"/>
      <c r="D36" s="1653"/>
      <c r="E36" s="1567"/>
      <c r="F36" s="1654"/>
      <c r="G36" s="121"/>
      <c r="H36" s="121"/>
      <c r="I36" s="121"/>
    </row>
    <row r="37" spans="1:15" ht="15.75" thickBot="1">
      <c r="A37" s="3262"/>
      <c r="B37" s="1555" t="s">
        <v>1314</v>
      </c>
      <c r="C37" s="139"/>
      <c r="D37" s="1071"/>
      <c r="E37" s="1071"/>
      <c r="F37" s="1654"/>
      <c r="G37" s="121"/>
      <c r="H37" s="121"/>
      <c r="I37" s="121"/>
    </row>
    <row r="38" spans="1:15" ht="15.75" thickBot="1">
      <c r="A38" s="326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38" t="s">
        <v>1326</v>
      </c>
      <c r="B45" s="3239"/>
      <c r="C45" s="3240"/>
      <c r="D45" s="147" t="e">
        <f ca="1">ROUND(H101*F45,0)</f>
        <v>#REF!</v>
      </c>
      <c r="E45" s="148" t="s">
        <v>1327</v>
      </c>
      <c r="F45" s="149">
        <v>1</v>
      </c>
      <c r="G45" s="150" t="s">
        <v>1328</v>
      </c>
      <c r="H45" s="121"/>
      <c r="I45" s="121"/>
      <c r="J45" s="3316" t="s">
        <v>1329</v>
      </c>
      <c r="K45" s="3316"/>
      <c r="L45" s="3316"/>
      <c r="M45" s="3316"/>
      <c r="N45" s="3316"/>
      <c r="O45" s="3316"/>
    </row>
    <row r="46" spans="1:15" ht="14.25" customHeight="1">
      <c r="A46" s="3235" t="s">
        <v>1330</v>
      </c>
      <c r="B46" s="3236"/>
      <c r="C46" s="3236"/>
      <c r="D46" s="3236"/>
      <c r="E46" s="3236"/>
      <c r="F46" s="3236"/>
      <c r="G46" s="3237"/>
      <c r="H46" s="1668"/>
      <c r="I46" s="151"/>
      <c r="J46" s="2310">
        <v>1</v>
      </c>
      <c r="K46" s="3297" t="s">
        <v>1331</v>
      </c>
      <c r="L46" s="3297"/>
      <c r="M46" s="3317"/>
      <c r="N46" s="3317"/>
      <c r="O46" s="3317"/>
    </row>
    <row r="47" spans="1:15" ht="12" customHeight="1">
      <c r="A47" s="152" t="s">
        <v>1332</v>
      </c>
      <c r="B47" s="153"/>
      <c r="C47" s="154"/>
      <c r="D47" s="1024" t="s">
        <v>1333</v>
      </c>
      <c r="E47" s="294" t="s">
        <v>1334</v>
      </c>
      <c r="F47" s="155" t="s">
        <v>1335</v>
      </c>
      <c r="G47" s="2333" t="s">
        <v>1336</v>
      </c>
      <c r="H47" s="2334"/>
      <c r="I47" s="151"/>
      <c r="J47" s="2310">
        <v>2</v>
      </c>
      <c r="K47" s="3297" t="s">
        <v>1337</v>
      </c>
      <c r="L47" s="3297"/>
      <c r="M47" s="3318">
        <f>'数据-取费表'!B2</f>
        <v>45629</v>
      </c>
      <c r="N47" s="3318"/>
      <c r="O47" s="3318"/>
    </row>
    <row r="48" spans="1:15" ht="25.5">
      <c r="A48" s="3266" t="s">
        <v>1338</v>
      </c>
      <c r="B48" s="3249"/>
      <c r="C48" s="324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97" t="s">
        <v>1340</v>
      </c>
      <c r="L48" s="3297"/>
      <c r="M48" s="3319" t="e">
        <f ca="1">H101</f>
        <v>#REF!</v>
      </c>
      <c r="N48" s="3319"/>
      <c r="O48" s="3319"/>
    </row>
    <row r="49" spans="1:35" ht="25.5" customHeight="1">
      <c r="A49" s="2152" t="s">
        <v>1341</v>
      </c>
      <c r="B49" s="3233" t="s">
        <v>1342</v>
      </c>
      <c r="C49" s="3233"/>
      <c r="D49" s="1478">
        <v>0</v>
      </c>
      <c r="E49" s="316" t="s">
        <v>1343</v>
      </c>
      <c r="F49" s="2233" t="s">
        <v>28</v>
      </c>
      <c r="G49" s="3303"/>
      <c r="H49" s="2134" t="s">
        <v>2133</v>
      </c>
      <c r="I49" s="2135"/>
      <c r="J49" s="2310">
        <v>4</v>
      </c>
      <c r="K49" s="3297" t="str">
        <f>IF(项目基本情况!E8="房地产抵押价值","房地产抵押价值","抵押担保权已注销时的房地产抵押价值")</f>
        <v>房地产抵押价值</v>
      </c>
      <c r="L49" s="3297"/>
      <c r="M49" s="3319" t="e">
        <f ca="1">IF(项目基本情况!E8="房地产抵押价值",H107,H109)</f>
        <v>#REF!</v>
      </c>
      <c r="N49" s="3319"/>
      <c r="O49" s="3319"/>
    </row>
    <row r="50" spans="1:35" ht="25.5" customHeight="1">
      <c r="A50" s="2338"/>
      <c r="B50" s="3233" t="s">
        <v>1344</v>
      </c>
      <c r="C50" s="3233"/>
      <c r="D50" s="2189"/>
      <c r="E50" s="323"/>
      <c r="F50" s="2233"/>
      <c r="G50" s="3304"/>
      <c r="H50" s="2136" t="s">
        <v>2134</v>
      </c>
      <c r="I50" s="2135"/>
      <c r="J50" s="3316" t="s">
        <v>1345</v>
      </c>
      <c r="K50" s="3316"/>
      <c r="L50" s="3316"/>
      <c r="M50" s="3316"/>
      <c r="N50" s="3316"/>
      <c r="O50" s="3316"/>
    </row>
    <row r="51" spans="1:35" ht="20.45" customHeight="1">
      <c r="A51" s="2339"/>
      <c r="B51" s="3233" t="s">
        <v>1346</v>
      </c>
      <c r="C51" s="3233"/>
      <c r="D51" s="1024"/>
      <c r="E51" s="319"/>
      <c r="F51" s="2233"/>
      <c r="G51" s="3305"/>
      <c r="H51" s="2136" t="s">
        <v>2135</v>
      </c>
      <c r="I51" s="2135"/>
      <c r="J51" s="2311" t="s">
        <v>1347</v>
      </c>
      <c r="K51" s="3297" t="s">
        <v>1348</v>
      </c>
      <c r="L51" s="3297"/>
      <c r="M51" s="2311" t="s">
        <v>1349</v>
      </c>
      <c r="N51" s="2311" t="s">
        <v>1350</v>
      </c>
      <c r="O51" s="2311" t="s">
        <v>1351</v>
      </c>
    </row>
    <row r="52" spans="1:35" ht="24" customHeight="1">
      <c r="A52" s="2153" t="s">
        <v>1352</v>
      </c>
      <c r="B52" s="3233" t="s">
        <v>1353</v>
      </c>
      <c r="C52" s="3233"/>
      <c r="D52" s="1024" t="e">
        <f ca="1">ROUND(D45*'数据-取费表'!B41/(1+'数据-取费表'!C42),0)</f>
        <v>#REF!</v>
      </c>
      <c r="E52" s="1256" t="s">
        <v>1354</v>
      </c>
      <c r="F52" s="2340">
        <f>'数据-取费表'!B41</f>
        <v>5.6000000000000001E-2</v>
      </c>
      <c r="G52" s="2341"/>
      <c r="H52" s="2331"/>
      <c r="I52" s="1669"/>
      <c r="J52" s="2310">
        <v>1</v>
      </c>
      <c r="K52" s="3298" t="s">
        <v>1355</v>
      </c>
      <c r="L52" s="3298"/>
      <c r="M52" s="2312" t="b">
        <f>D48</f>
        <v>0</v>
      </c>
      <c r="N52" s="2310" t="str">
        <f>E48</f>
        <v>销售额×税（费）率</v>
      </c>
      <c r="O52" s="2313">
        <f>F48</f>
        <v>5.6000000000000001E-2</v>
      </c>
    </row>
    <row r="53" spans="1:35" ht="12" customHeight="1">
      <c r="A53" s="2153" t="s">
        <v>1356</v>
      </c>
      <c r="B53" s="3259" t="s">
        <v>2281</v>
      </c>
      <c r="C53" s="3260"/>
      <c r="D53" s="1024" t="e">
        <f ca="1">ROUND(D45*'数据-取费表'!B41/(1+'数据-取费表'!C42),0)</f>
        <v>#REF!</v>
      </c>
      <c r="E53" s="1256" t="s">
        <v>1354</v>
      </c>
      <c r="F53" s="2340">
        <f>'数据-取费表'!B41</f>
        <v>5.6000000000000001E-2</v>
      </c>
      <c r="G53" s="2341"/>
      <c r="H53" s="2331"/>
      <c r="I53" s="1669"/>
      <c r="J53" s="2310">
        <v>2</v>
      </c>
      <c r="K53" s="3298" t="s">
        <v>1357</v>
      </c>
      <c r="L53" s="3298"/>
      <c r="M53" s="2312" t="e">
        <f t="shared" ref="M53:O54" ca="1" si="0">D55</f>
        <v>#REF!</v>
      </c>
      <c r="N53" s="2310" t="str">
        <f t="shared" si="0"/>
        <v>销售额×税（费）率</v>
      </c>
      <c r="O53" s="2313" t="str">
        <f t="shared" si="0"/>
        <v>免征</v>
      </c>
    </row>
    <row r="54" spans="1:35" ht="12" customHeight="1">
      <c r="A54" s="2153" t="s">
        <v>1358</v>
      </c>
      <c r="B54" s="3259" t="s">
        <v>2282</v>
      </c>
      <c r="C54" s="3260"/>
      <c r="D54" s="1024" t="e">
        <f ca="1">C68</f>
        <v>#REF!</v>
      </c>
      <c r="E54" s="319" t="s">
        <v>1359</v>
      </c>
      <c r="F54" s="2340">
        <f>'数据-取费表'!B41</f>
        <v>5.6000000000000001E-2</v>
      </c>
      <c r="G54" s="2341"/>
      <c r="H54" s="2342"/>
      <c r="I54" s="1669"/>
      <c r="J54" s="2310">
        <v>3</v>
      </c>
      <c r="K54" s="3298" t="s">
        <v>1360</v>
      </c>
      <c r="L54" s="3298"/>
      <c r="M54" s="2312" t="e">
        <f t="shared" ca="1" si="0"/>
        <v>#REF!</v>
      </c>
      <c r="N54" s="2310" t="str">
        <f t="shared" si="0"/>
        <v>增值额×税（费）率</v>
      </c>
      <c r="O54" s="2314" t="str">
        <f t="shared" si="0"/>
        <v>免征</v>
      </c>
    </row>
    <row r="55" spans="1:35" ht="24" customHeight="1">
      <c r="A55" s="3248" t="s">
        <v>1361</v>
      </c>
      <c r="B55" s="3249"/>
      <c r="C55" s="3249"/>
      <c r="D55" s="12" t="e">
        <f ca="1">IF(H55="个人住宅",0,ROUND(D45*I55,0))</f>
        <v>#REF!</v>
      </c>
      <c r="E55" s="1256" t="s">
        <v>1362</v>
      </c>
      <c r="F55" s="2340" t="str">
        <f>IF(H55="正常",I55,"免征")</f>
        <v>免征</v>
      </c>
      <c r="G55" s="2341"/>
      <c r="H55" s="2337"/>
      <c r="I55" s="157">
        <f>'数据-取费表'!B49</f>
        <v>5.0000000000000001E-4</v>
      </c>
      <c r="J55" s="2310">
        <f>IF(H59="非个人房产","",4)</f>
        <v>4</v>
      </c>
      <c r="K55" s="3298" t="str">
        <f>IF(H59="非个人房产","——","个人所得税")</f>
        <v>个人所得税</v>
      </c>
      <c r="L55" s="3298"/>
      <c r="M55" s="2315" t="e">
        <f ca="1">D59</f>
        <v>#REF!</v>
      </c>
      <c r="N55" s="1883" t="str">
        <f>E59</f>
        <v>差额计税</v>
      </c>
      <c r="O55" s="2316">
        <f>F59</f>
        <v>0.01</v>
      </c>
    </row>
    <row r="56" spans="1:35" ht="24.75">
      <c r="A56" s="3248" t="s">
        <v>1363</v>
      </c>
      <c r="B56" s="3249"/>
      <c r="C56" s="3249"/>
      <c r="D56" s="12" t="e">
        <f ca="1">IF(H56="个人住宅",D57,D58)</f>
        <v>#REF!</v>
      </c>
      <c r="E56" s="1256" t="s">
        <v>1364</v>
      </c>
      <c r="F56" s="2340" t="str">
        <f>IF(H56="正常",F58,"免征")</f>
        <v>免征</v>
      </c>
      <c r="G56" s="2343" t="s">
        <v>1365</v>
      </c>
      <c r="H56" s="2344"/>
      <c r="I56" s="1670"/>
      <c r="J56" s="2310" t="str">
        <f>IF(项目基本情况!K6="上海银行",IF(J55="",4,J55+1),"")</f>
        <v/>
      </c>
      <c r="K56" s="3321" t="str">
        <f>IF(项目基本情况!K6="上海银行","其他处置费用","")</f>
        <v/>
      </c>
      <c r="L56" s="3322"/>
      <c r="M56" s="2312" t="str">
        <f>IF(项目基本情况!K6="上海银行",M69,"")</f>
        <v/>
      </c>
      <c r="N56" s="3321" t="str">
        <f>IF(项目基本情况!K6="上海银行","包含处置中涉及的律师、诉讼、拍卖、评估等费用","")</f>
        <v/>
      </c>
      <c r="O56" s="3324"/>
    </row>
    <row r="57" spans="1:35" ht="12.75">
      <c r="A57" s="2153" t="s">
        <v>1341</v>
      </c>
      <c r="B57" s="3259" t="s">
        <v>1366</v>
      </c>
      <c r="C57" s="3260"/>
      <c r="D57" s="1478">
        <v>0</v>
      </c>
      <c r="E57" s="316" t="s">
        <v>1343</v>
      </c>
      <c r="F57" s="294"/>
      <c r="G57" s="2341"/>
      <c r="H57" s="2345"/>
      <c r="I57" s="1670"/>
      <c r="J57" s="3298">
        <f>IF(AND(J55="",J56=""),4,IF(项目基本情况!K6="上海银行",结果表!J56+1,结果表!J55+1))</f>
        <v>5</v>
      </c>
      <c r="K57" s="3298" t="s">
        <v>1367</v>
      </c>
      <c r="L57" s="2317" t="s">
        <v>1368</v>
      </c>
      <c r="M57" s="2318"/>
      <c r="N57" s="2319">
        <f ca="1">SUMIF(M52:M56,"&lt;9e307")</f>
        <v>0</v>
      </c>
      <c r="O57" s="2320"/>
      <c r="P57" s="2465" t="e">
        <f ca="1">N57/M49</f>
        <v>#REF!</v>
      </c>
    </row>
    <row r="58" spans="1:35" ht="24.75">
      <c r="A58" s="2153" t="s">
        <v>1352</v>
      </c>
      <c r="B58" s="3259" t="s">
        <v>1369</v>
      </c>
      <c r="C58" s="3233"/>
      <c r="D58" s="12" t="e">
        <f ca="1">IF(H58="转让取得",C81,C97)</f>
        <v>#REF!</v>
      </c>
      <c r="E58" s="1256" t="s">
        <v>1364</v>
      </c>
      <c r="F58" s="294" t="s">
        <v>28</v>
      </c>
      <c r="G58" s="2341"/>
      <c r="H58" s="2344"/>
      <c r="I58" s="1670"/>
      <c r="J58" s="3298"/>
      <c r="K58" s="3298"/>
      <c r="L58" s="2317" t="s">
        <v>1370</v>
      </c>
      <c r="M58" s="2321"/>
      <c r="N58" s="2322" t="str">
        <f ca="1">NUMBERSTRING(INT(N57*10000),2)&amp;"元整"</f>
        <v>零元整</v>
      </c>
      <c r="O58" s="2323"/>
    </row>
    <row r="59" spans="1:35" ht="24.75" thickBot="1">
      <c r="A59" s="3301" t="s">
        <v>1371</v>
      </c>
      <c r="B59" s="3302"/>
      <c r="C59" s="3302"/>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299">
        <f>J57+1</f>
        <v>6</v>
      </c>
      <c r="K59" s="3298" t="s">
        <v>1372</v>
      </c>
      <c r="L59" s="2310" t="s">
        <v>1368</v>
      </c>
      <c r="M59" s="2324"/>
      <c r="N59" s="2325" t="e">
        <f ca="1">M49-N57</f>
        <v>#REF!</v>
      </c>
      <c r="O59" s="2326"/>
    </row>
    <row r="60" spans="1:35" ht="12" customHeight="1">
      <c r="A60" s="1671"/>
      <c r="B60" s="646"/>
      <c r="C60" s="646"/>
      <c r="D60" s="646"/>
      <c r="E60" s="1466"/>
      <c r="F60" s="1670"/>
      <c r="G60" s="1670"/>
      <c r="H60" s="151"/>
      <c r="I60" s="121"/>
      <c r="J60" s="3300"/>
      <c r="K60" s="3298"/>
      <c r="L60" s="2317" t="s">
        <v>1370</v>
      </c>
      <c r="M60" s="2321"/>
      <c r="N60" s="2322" t="e">
        <f ca="1">NUMBERSTRING(INT(N59*10000),2)&amp;"元整"</f>
        <v>#REF!</v>
      </c>
      <c r="O60" s="2323"/>
    </row>
    <row r="61" spans="1:35" ht="13.5" thickBot="1">
      <c r="A61" s="3246" t="s">
        <v>1373</v>
      </c>
      <c r="B61" s="3246"/>
      <c r="C61" s="3246"/>
      <c r="D61" s="3246"/>
      <c r="E61" s="3246"/>
      <c r="F61" s="1670"/>
      <c r="G61" s="1670"/>
      <c r="H61" s="151"/>
      <c r="I61" s="121"/>
      <c r="J61" s="2310">
        <f>J59+1</f>
        <v>7</v>
      </c>
      <c r="K61" s="3298" t="s">
        <v>1374</v>
      </c>
      <c r="L61" s="3298"/>
      <c r="M61" s="2327"/>
      <c r="N61" s="2328" t="e">
        <f ca="1">ROUND(N59*10000/'数据-汇总表'!E3,0)</f>
        <v>#REF!</v>
      </c>
      <c r="O61" s="2329"/>
    </row>
    <row r="62" spans="1:35" ht="12.75">
      <c r="A62" s="3264" t="s">
        <v>1375</v>
      </c>
      <c r="B62" s="3265"/>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323" t="s">
        <v>1379</v>
      </c>
      <c r="K63" s="1245" t="s">
        <v>1380</v>
      </c>
      <c r="L63" s="1245" t="e">
        <f ca="1">IF(M49&gt;10000,M49*0.5%,IF(AND(M49&gt;1000,M49&lt;=10000),M49*1%,IF(AND(M49&gt;100,M49&lt;=1000),M49*3%,IF(AND(M49&gt;10,M49&lt;=100),M49*5%,M49*8%))))</f>
        <v>#REF!</v>
      </c>
      <c r="M63" s="294" t="e">
        <f ca="1">ROUND(L63,1)</f>
        <v>#REF!</v>
      </c>
      <c r="N63" s="2330"/>
      <c r="Z63" s="1623"/>
      <c r="AI63" s="1561"/>
    </row>
    <row r="64" spans="1:35" ht="14.25" customHeight="1">
      <c r="A64" s="161" t="s">
        <v>325</v>
      </c>
      <c r="B64" s="162" t="s">
        <v>1381</v>
      </c>
      <c r="C64" s="2351" t="e">
        <f ca="1">D45</f>
        <v>#REF!</v>
      </c>
      <c r="D64" s="162" t="s">
        <v>26</v>
      </c>
      <c r="E64" s="164"/>
      <c r="F64" s="1670"/>
      <c r="G64" s="1670"/>
      <c r="H64" s="151"/>
      <c r="I64" s="121"/>
      <c r="J64" s="3323"/>
      <c r="K64" s="1245" t="s">
        <v>1382</v>
      </c>
      <c r="L64" s="1245" t="e">
        <f ca="1">IF(M49&gt;2000,M49*0.5%,IF(AND(M49&gt;1000,M49&lt;=2000),M49*0.6%,IF(AND(M49&gt;500,M49&lt;=1000),M49*0.7%,IF(AND(M49&gt;200,M49&lt;=500),M49*0.8%,IF(AND(M49&gt;100,M49&lt;=200),M49*0.9%,IF(AND(M49&gt;50,M49&lt;=100),M49*1%,IF(AND(M49&gt;20,M49&lt;=50),M49*1.5%,IF(AND(M49&gt;10,M49&lt;=20),M49*2%,IF(AND(M49&gt;1,M49&lt;=10),M49*2.5%)))))))))</f>
        <v>#REF!</v>
      </c>
      <c r="M64" s="294" t="e">
        <f t="shared" ref="M64:M65" ca="1" si="1">ROUND(L64,1)</f>
        <v>#REF!</v>
      </c>
      <c r="N64" s="2331" t="s">
        <v>1383</v>
      </c>
      <c r="Z64" s="1623"/>
      <c r="AI64" s="1561"/>
    </row>
    <row r="65" spans="1:35" ht="14.25" customHeight="1">
      <c r="A65" s="161" t="s">
        <v>326</v>
      </c>
      <c r="B65" s="162" t="s">
        <v>1384</v>
      </c>
      <c r="C65" s="2352"/>
      <c r="D65" s="162"/>
      <c r="E65" s="164"/>
      <c r="F65" s="1670"/>
      <c r="G65" s="1670"/>
      <c r="H65" s="151"/>
      <c r="I65" s="121"/>
      <c r="J65" s="3323"/>
      <c r="K65" s="1245" t="s">
        <v>1385</v>
      </c>
      <c r="L65" s="1245" t="e">
        <f ca="1">IF(M49&gt;1000,M49*0.1%,IF(AND(M49&gt;500,M49&lt;=1000),M49*0.5%,IF(AND(M49&gt;50,M49&lt;=500),M49*1%,IF(AND(M49&gt;1,M49&lt;=50),M49*1.5%))))</f>
        <v>#REF!</v>
      </c>
      <c r="M65" s="294" t="e">
        <f t="shared" ca="1" si="1"/>
        <v>#REF!</v>
      </c>
      <c r="N65" s="2331" t="s">
        <v>1383</v>
      </c>
      <c r="Z65" s="1623"/>
      <c r="AI65" s="1561"/>
    </row>
    <row r="66" spans="1:35" ht="14.25" customHeight="1">
      <c r="A66" s="165" t="s">
        <v>327</v>
      </c>
      <c r="B66" s="166" t="s">
        <v>1386</v>
      </c>
      <c r="C66" s="2353"/>
      <c r="D66" s="166" t="s">
        <v>26</v>
      </c>
      <c r="E66" s="1251" t="s">
        <v>671</v>
      </c>
      <c r="F66" s="1670"/>
      <c r="G66" s="1670"/>
      <c r="H66" s="151"/>
      <c r="I66" s="121"/>
      <c r="J66" s="3323"/>
      <c r="K66" s="1245" t="s">
        <v>1387</v>
      </c>
      <c r="L66" s="1245" t="e">
        <f ca="1">M49*0.5%</f>
        <v>#REF!</v>
      </c>
      <c r="M66" s="294" t="e">
        <f ca="1">IF(L66&gt;0.5,0.5,ROUND(L66,0))</f>
        <v>#REF!</v>
      </c>
      <c r="N66" s="2331" t="s">
        <v>1388</v>
      </c>
      <c r="Z66" s="1623"/>
      <c r="AI66" s="1561"/>
    </row>
    <row r="67" spans="1:35" ht="14.25" customHeight="1">
      <c r="A67" s="165" t="s">
        <v>328</v>
      </c>
      <c r="B67" s="166" t="s">
        <v>1389</v>
      </c>
      <c r="C67" s="2354" t="e">
        <f ca="1">C63-C66</f>
        <v>#REF!</v>
      </c>
      <c r="D67" s="162" t="s">
        <v>26</v>
      </c>
      <c r="E67" s="164"/>
      <c r="F67" s="1670"/>
      <c r="G67" s="1670"/>
      <c r="H67" s="151"/>
      <c r="I67" s="121"/>
      <c r="J67" s="3323"/>
      <c r="K67" s="1245" t="s">
        <v>1390</v>
      </c>
      <c r="L67" s="1245" t="e">
        <f ca="1">IF(M49&gt;=10000,(8.25+(M49-10000)*0.01%),IF(AND(M49&gt;=8000,M49&lt;10000),(7.85+(M49-8000)*0.02%),IF(AND(M49&gt;=5000,M49&lt;8000),(6.65+(M49-5000)*0.04%),IF(AND(M49&gt;=2000,M49&lt;5000),(4.25+(PM49-2000)*0.08%),IF(AND(M49&gt;=1000,M49&lt;2000),(2.75+(M49-1000)*0.15%),IF(AND(M49&gt;=100,M49&lt;1000),(0.5+(M49-100)*0.25%),IF(AND(M49&gt;0,M49&lt;100),M49*0.5%)))))))</f>
        <v>#REF!</v>
      </c>
      <c r="M67" s="294" t="e">
        <f ca="1">ROUND(L67*0.9,1)</f>
        <v>#REF!</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23"/>
      <c r="K68" s="1245" t="s">
        <v>1392</v>
      </c>
      <c r="L68" s="1245" t="e">
        <f ca="1">IF(M49&gt;10000,M49*0.5%,IF(AND(M49&gt;5000,M49&lt;=10000),M49*1%,IF(AND(M49&gt;1000,M49&lt;=5000),M49*2%,IF(AND(M49&gt;200,M49&lt;=1000),M49*3%,M49*5%))))</f>
        <v>#REF!</v>
      </c>
      <c r="M68" s="294" t="e">
        <f ca="1">ROUND(L68,1)</f>
        <v>#REF!</v>
      </c>
      <c r="N68" s="2330"/>
      <c r="Z68" s="1623"/>
      <c r="AI68" s="1561"/>
    </row>
    <row r="69" spans="1:35" ht="16.5" customHeight="1">
      <c r="A69" s="1672"/>
      <c r="B69" s="1673"/>
      <c r="C69" s="1674"/>
      <c r="D69" s="1675"/>
      <c r="E69" s="1676"/>
      <c r="F69" s="1466"/>
      <c r="G69" s="1466"/>
      <c r="H69" s="1467"/>
      <c r="I69" s="646"/>
      <c r="J69" s="3323"/>
      <c r="K69" s="1245" t="s">
        <v>1393</v>
      </c>
      <c r="L69" s="1245"/>
      <c r="M69" s="294" t="e">
        <f ca="1">ROUND(SUM(M63:M68),0)</f>
        <v>#REF!</v>
      </c>
      <c r="N69" s="2332" t="e">
        <f ca="1">M69/M49</f>
        <v>#REF!</v>
      </c>
      <c r="Z69" s="1623"/>
      <c r="AI69" s="1561"/>
    </row>
    <row r="70" spans="1:35" s="642" customFormat="1" ht="15" thickBot="1">
      <c r="A70" s="3285" t="s">
        <v>1394</v>
      </c>
      <c r="B70" s="3286"/>
      <c r="C70" s="3286"/>
      <c r="D70" s="3286"/>
      <c r="E70" s="3286"/>
      <c r="F70" s="3286"/>
      <c r="G70" s="3286"/>
      <c r="H70" s="328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64" t="s">
        <v>1375</v>
      </c>
      <c r="B71" s="326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59" t="s">
        <v>1402</v>
      </c>
      <c r="F76" s="3233"/>
      <c r="G76" s="3233"/>
      <c r="H76" s="328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43" t="s">
        <v>1406</v>
      </c>
      <c r="F78" s="3244"/>
      <c r="G78" s="3244"/>
      <c r="H78" s="325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5" t="s">
        <v>1410</v>
      </c>
      <c r="B83" s="3286"/>
      <c r="C83" s="3286"/>
      <c r="D83" s="3286"/>
      <c r="E83" s="3286"/>
      <c r="F83" s="3286"/>
      <c r="G83" s="3286"/>
      <c r="H83" s="328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64" t="s">
        <v>1375</v>
      </c>
      <c r="B84" s="326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25" t="s">
        <v>2128</v>
      </c>
      <c r="H90" s="3326"/>
      <c r="I90" s="1681"/>
      <c r="J90" s="2308" t="s">
        <v>2279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43" t="s">
        <v>1419</v>
      </c>
      <c r="F91" s="3244"/>
      <c r="G91" s="324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43" t="s">
        <v>1422</v>
      </c>
      <c r="F92" s="3244"/>
      <c r="G92" s="3244"/>
      <c r="H92" s="3253"/>
      <c r="I92" s="1681"/>
      <c r="J92" s="2309" t="s">
        <v>2280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43" t="s">
        <v>1406</v>
      </c>
      <c r="F93" s="3244"/>
      <c r="G93" s="3244"/>
      <c r="H93" s="325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54" t="s">
        <v>1426</v>
      </c>
      <c r="F94" s="3255"/>
      <c r="G94" s="3255"/>
      <c r="H94" s="325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7" t="s">
        <v>1428</v>
      </c>
      <c r="B100" s="3228"/>
      <c r="C100" s="3228"/>
      <c r="D100" s="3245"/>
      <c r="E100" s="3228" t="s">
        <v>1429</v>
      </c>
      <c r="F100" s="3228"/>
      <c r="G100" s="3228"/>
      <c r="H100" s="3245"/>
      <c r="I100" s="121"/>
    </row>
    <row r="101" spans="1:35" ht="18.75" customHeight="1">
      <c r="A101" s="3306" t="s">
        <v>1430</v>
      </c>
      <c r="B101" s="3307"/>
      <c r="C101" s="2371" t="str">
        <f>C4</f>
        <v>典型户型修正</v>
      </c>
      <c r="D101" s="2372" t="str">
        <f>D4</f>
        <v>收益法</v>
      </c>
      <c r="E101" s="3320" t="s">
        <v>1431</v>
      </c>
      <c r="F101" s="3277"/>
      <c r="G101" s="1687" t="s">
        <v>1432</v>
      </c>
      <c r="H101" s="2381" t="e">
        <f ca="1">H118</f>
        <v>#REF!</v>
      </c>
      <c r="I101" s="121"/>
    </row>
    <row r="102" spans="1:35" ht="18.75" customHeight="1">
      <c r="A102" s="3279" t="s">
        <v>1433</v>
      </c>
      <c r="B102" s="2370" t="s">
        <v>1432</v>
      </c>
      <c r="C102" s="2371">
        <f ca="1">IF(D32="楼面单价",ROUND(C19,0),C19)</f>
        <v>9770</v>
      </c>
      <c r="D102" s="2372">
        <f ca="1">IF(D32="楼面单价",ROUND(D19,0),D19)</f>
        <v>7636</v>
      </c>
      <c r="E102" s="3320"/>
      <c r="F102" s="3277"/>
      <c r="G102" s="1687" t="s">
        <v>1434</v>
      </c>
      <c r="H102" s="2341" t="e">
        <f ca="1">I118</f>
        <v>#REF!</v>
      </c>
      <c r="I102" s="121"/>
    </row>
    <row r="103" spans="1:35" ht="42.75" customHeight="1">
      <c r="A103" s="3279"/>
      <c r="B103" s="2370" t="s">
        <v>1434</v>
      </c>
      <c r="C103" s="2373">
        <f ca="1">C20</f>
        <v>25014</v>
      </c>
      <c r="D103" s="2374">
        <f ca="1">D20</f>
        <v>19551</v>
      </c>
      <c r="E103" s="3314" t="s">
        <v>1435</v>
      </c>
      <c r="F103" s="3315"/>
      <c r="G103" s="1688" t="s">
        <v>1436</v>
      </c>
      <c r="H103" s="2381">
        <f>IF(D36="正常操作",H104+H105+H106,H105+H106)</f>
        <v>0</v>
      </c>
      <c r="I103" s="121"/>
    </row>
    <row r="104" spans="1:35" ht="18.75" customHeight="1">
      <c r="A104" s="327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0"/>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6" t="str">
        <f>IF(项目基本情况!E8="已注销","——","3.房地产抵押价值")</f>
        <v>3.房地产抵押价值</v>
      </c>
      <c r="F107" s="3277"/>
      <c r="G107" s="1687" t="s">
        <v>1432</v>
      </c>
      <c r="H107" s="2381" t="e">
        <f ca="1">IF(E107="——","——",H101-H103)</f>
        <v>#REF!</v>
      </c>
      <c r="I107" s="121"/>
    </row>
    <row r="108" spans="1:35" ht="18.75" customHeight="1">
      <c r="A108" s="121"/>
      <c r="B108" s="121"/>
      <c r="C108" s="121"/>
      <c r="D108" s="121"/>
      <c r="E108" s="3276"/>
      <c r="F108" s="3277"/>
      <c r="G108" s="1687" t="s">
        <v>1434</v>
      </c>
      <c r="H108" s="2341" t="e">
        <f ca="1">IF(H107=H101,H102,ROUND(H107*10000/'数据-汇总表'!E3,0))</f>
        <v>#REF!</v>
      </c>
      <c r="I108" s="121"/>
    </row>
    <row r="109" spans="1:35" ht="18.75" customHeight="1">
      <c r="A109" s="121"/>
      <c r="B109" s="121"/>
      <c r="C109" s="121"/>
      <c r="D109" s="121"/>
      <c r="E109" s="3276" t="str">
        <f>IF(项目基本情况!E8="已注销及未注销","4.抵押担保权已注销时的房地产抵押价值",IF(项目基本情况!E8="已注销","3.抵押担保权已注销时的房地产抵押价值","——"))</f>
        <v>——</v>
      </c>
      <c r="F109" s="3277"/>
      <c r="G109" s="1687" t="s">
        <v>1432</v>
      </c>
      <c r="H109" s="2384" t="str">
        <f>IF(E109="——","——",H101-H105-H106)</f>
        <v>——</v>
      </c>
      <c r="I109" s="121"/>
    </row>
    <row r="110" spans="1:35" ht="18.75" customHeight="1">
      <c r="A110" s="121"/>
      <c r="B110" s="121"/>
      <c r="C110" s="121"/>
      <c r="D110" s="121"/>
      <c r="E110" s="3276"/>
      <c r="F110" s="3277"/>
      <c r="G110" s="1687" t="s">
        <v>1434</v>
      </c>
      <c r="H110" s="2341"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309"/>
      <c r="F112" s="3310"/>
      <c r="G112" s="1690" t="s">
        <v>1434</v>
      </c>
      <c r="H112" s="2385" t="str">
        <f>IF(E111="——","——",N61)</f>
        <v>——</v>
      </c>
      <c r="I112" s="121"/>
    </row>
    <row r="113" spans="1:27" ht="18.75" customHeight="1">
      <c r="A113" s="121"/>
      <c r="B113" s="121"/>
      <c r="C113" s="121"/>
      <c r="D113" s="121"/>
      <c r="E113" s="3281" t="s">
        <v>1440</v>
      </c>
      <c r="F113" s="3281"/>
      <c r="G113" s="3281"/>
      <c r="H113" s="3281"/>
      <c r="I113" s="121"/>
    </row>
    <row r="114" spans="1:27" ht="3.75" customHeight="1">
      <c r="A114" s="646"/>
      <c r="B114" s="646"/>
      <c r="C114" s="646"/>
      <c r="D114" s="646"/>
      <c r="E114" s="1671"/>
      <c r="F114" s="1671"/>
      <c r="G114" s="1671"/>
      <c r="H114" s="1671"/>
      <c r="I114" s="646"/>
    </row>
    <row r="115" spans="1:27" ht="18.75" customHeight="1">
      <c r="A115" s="3291" t="s">
        <v>1442</v>
      </c>
      <c r="B115" s="3292"/>
      <c r="C115" s="3292"/>
      <c r="D115" s="3292"/>
      <c r="E115" s="3292"/>
      <c r="F115" s="3292"/>
      <c r="G115" s="3292"/>
      <c r="H115" s="3292"/>
      <c r="I115" s="3293"/>
    </row>
    <row r="116" spans="1:27" ht="27" customHeight="1">
      <c r="A116" s="3247" t="s">
        <v>1443</v>
      </c>
      <c r="B116" s="3282" t="s">
        <v>1444</v>
      </c>
      <c r="C116" s="3282" t="s">
        <v>1445</v>
      </c>
      <c r="D116" s="3295" t="s">
        <v>1446</v>
      </c>
      <c r="E116" s="3296"/>
      <c r="F116" s="3290" t="s">
        <v>1447</v>
      </c>
      <c r="G116" s="3290"/>
      <c r="H116" s="3247" t="s">
        <v>1448</v>
      </c>
      <c r="I116" s="3247"/>
    </row>
    <row r="117" spans="1:27" ht="18.75" customHeight="1">
      <c r="A117" s="3247"/>
      <c r="B117" s="3283"/>
      <c r="C117" s="328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3905.76</v>
      </c>
      <c r="C118" s="2150">
        <f>M19</f>
        <v>2386.36</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47" t="s">
        <v>1452</v>
      </c>
      <c r="B119" s="3247"/>
      <c r="C119" s="3247"/>
      <c r="D119" s="3287" t="e">
        <f ca="1">NUMBERSTRING(INT(D118*10000),2)&amp;"元整"</f>
        <v>#REF!</v>
      </c>
      <c r="E119" s="3289"/>
      <c r="F119" s="3287" t="e">
        <f ca="1">NUMBERSTRING(INT(F118*10000),2)&amp;"元整"</f>
        <v>#REF!</v>
      </c>
      <c r="G119" s="3289"/>
      <c r="H119" s="3287" t="e">
        <f ca="1">NUMBERSTRING(INT(H118*10000),2)&amp;"元整"</f>
        <v>#REF!</v>
      </c>
      <c r="I119" s="3289"/>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8"/>
      <c r="C121" s="3289"/>
      <c r="D121" s="3287" t="str">
        <f>IF(D120=0,"零元整",NUMBERSTRING(INT(D120*10000),2)&amp;"元整")</f>
        <v>零元整</v>
      </c>
      <c r="E121" s="3288"/>
      <c r="F121" s="3288"/>
      <c r="G121" s="3288"/>
      <c r="H121" s="3288"/>
      <c r="I121" s="3289"/>
      <c r="AA121" s="684"/>
    </row>
    <row r="122" spans="1:27" ht="18.75" customHeight="1">
      <c r="A122" s="3278" t="str">
        <f>IF(项目基本情况!B9="房地产市场价值","",MID(E107,3,LEN(E107)-2))</f>
        <v>房地产抵押价值</v>
      </c>
      <c r="B122" s="3278"/>
      <c r="C122" s="3278"/>
      <c r="D122" s="3311" t="e">
        <f ca="1">H107</f>
        <v>#REF!</v>
      </c>
      <c r="E122" s="3312"/>
      <c r="F122" s="3312"/>
      <c r="G122" s="3312"/>
      <c r="H122" s="3312"/>
      <c r="I122" s="3313"/>
      <c r="AA122" s="684"/>
    </row>
    <row r="123" spans="1:27" ht="18.75" customHeight="1">
      <c r="A123" s="3247" t="s">
        <v>1452</v>
      </c>
      <c r="B123" s="3247"/>
      <c r="C123" s="3247"/>
      <c r="D123" s="3287" t="e">
        <f ca="1">NUMBERSTRING(INT(D122*10000),2)&amp;"元整"</f>
        <v>#REF!</v>
      </c>
      <c r="E123" s="3288"/>
      <c r="F123" s="3288"/>
      <c r="G123" s="3288"/>
      <c r="H123" s="3288"/>
      <c r="I123" s="3289"/>
      <c r="AA123" s="684"/>
    </row>
    <row r="124" spans="1:27" ht="18.75" customHeight="1">
      <c r="A124" s="3278" t="str">
        <f>IF(项目基本情况!B9="房地产市场价值","",MID(E109,3,LEN(E109)-2))</f>
        <v/>
      </c>
      <c r="B124" s="3278"/>
      <c r="C124" s="3278"/>
      <c r="D124" s="3311" t="str">
        <f>H109</f>
        <v>——</v>
      </c>
      <c r="E124" s="3312"/>
      <c r="F124" s="3312"/>
      <c r="G124" s="3312"/>
      <c r="H124" s="3312"/>
      <c r="I124" s="3313"/>
      <c r="AA124" s="684"/>
    </row>
    <row r="125" spans="1:27" ht="18.75" customHeight="1">
      <c r="A125" s="3247" t="s">
        <v>1452</v>
      </c>
      <c r="B125" s="3247"/>
      <c r="C125" s="3247"/>
      <c r="D125" s="3287" t="e">
        <f>NUMBERSTRING(INT(D124*10000),2)&amp;"元整"</f>
        <v>#VALUE!</v>
      </c>
      <c r="E125" s="3288"/>
      <c r="F125" s="3288"/>
      <c r="G125" s="3288"/>
      <c r="H125" s="3288"/>
      <c r="I125" s="3289"/>
      <c r="AA125" s="684"/>
    </row>
    <row r="126" spans="1:27" ht="18.75" customHeight="1">
      <c r="A126" s="3278" t="str">
        <f>IF(项目基本情况!B9="房地产市场价值","",MID(E111,3,LEN(E111)-2))</f>
        <v/>
      </c>
      <c r="B126" s="3278"/>
      <c r="C126" s="3278"/>
      <c r="D126" s="3311" t="str">
        <f>H111</f>
        <v>——</v>
      </c>
      <c r="E126" s="3312"/>
      <c r="F126" s="3312"/>
      <c r="G126" s="3312"/>
      <c r="H126" s="3312"/>
      <c r="I126" s="3313"/>
      <c r="AA126" s="684"/>
    </row>
    <row r="127" spans="1:27" ht="18.75" customHeight="1">
      <c r="A127" s="3247" t="s">
        <v>1452</v>
      </c>
      <c r="B127" s="3247"/>
      <c r="C127" s="3247"/>
      <c r="D127" s="3287" t="e">
        <f>NUMBERSTRING(INT(D126*10000),2)&amp;"元整"</f>
        <v>#VALUE!</v>
      </c>
      <c r="E127" s="3288"/>
      <c r="F127" s="3288"/>
      <c r="G127" s="3288"/>
      <c r="H127" s="3288"/>
      <c r="I127" s="3289"/>
      <c r="AA127" s="684"/>
    </row>
    <row r="128" spans="1:27" ht="21.75" customHeight="1">
      <c r="A128" s="3294" t="s">
        <v>1453</v>
      </c>
      <c r="B128" s="3294"/>
      <c r="C128" s="3294"/>
      <c r="D128" s="3294"/>
      <c r="E128" s="3294"/>
      <c r="F128" s="3294"/>
      <c r="G128" s="3294"/>
      <c r="H128" s="3294"/>
      <c r="I128" s="329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G34" sqref="G3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7193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18416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3986</v>
      </c>
      <c r="D5" s="203" t="s">
        <v>1469</v>
      </c>
      <c r="E5" s="204" t="s">
        <v>1470</v>
      </c>
      <c r="F5" s="204" t="s">
        <v>1471</v>
      </c>
      <c r="G5" s="205"/>
    </row>
    <row r="6" spans="1:9" s="206" customFormat="1" ht="13.5" customHeight="1">
      <c r="A6" s="732" t="s">
        <v>1472</v>
      </c>
      <c r="B6" s="207" t="s">
        <v>1473</v>
      </c>
      <c r="C6" s="208">
        <f>基准地价修正!E37+基准地价修正!V2+基准地价修正!V3+基准地价修正!V4</f>
        <v>3868</v>
      </c>
      <c r="D6" s="209"/>
      <c r="E6" s="210"/>
      <c r="F6" s="210"/>
      <c r="G6" s="211"/>
    </row>
    <row r="7" spans="1:9" s="206" customFormat="1" ht="13.5" customHeight="1">
      <c r="A7" s="732" t="s">
        <v>1474</v>
      </c>
      <c r="B7" s="207" t="s">
        <v>1475</v>
      </c>
      <c r="C7" s="212">
        <f>ROUND(C6*F7,0)</f>
        <v>118</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3403</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3404</v>
      </c>
      <c r="H9" s="1070"/>
      <c r="I9" s="1716" t="s">
        <v>1479</v>
      </c>
    </row>
    <row r="10" spans="1:9" s="206" customFormat="1" ht="13.5" customHeight="1">
      <c r="A10" s="733" t="s">
        <v>356</v>
      </c>
      <c r="B10" s="216" t="s">
        <v>1480</v>
      </c>
      <c r="C10" s="217">
        <f ca="1">ROUND(D10*E10/10000,0)</f>
        <v>78</v>
      </c>
      <c r="D10" s="795">
        <f ca="1">IF(B1="",'数据-汇总表'!E6,IF(INDIRECT("'数据-取费表'!c"&amp;$G$1)="住宅",INDIRECT("'数据-取费表'!s"&amp;$G$1),INDIRECT("'数据-取费表'!k"&amp;$G$1)+INDIRECT("'数据-取费表'!s"&amp;$G$1)))</f>
        <v>3905.76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3905.76</v>
      </c>
      <c r="E19" s="203">
        <f>'数据-取费表'!B31</f>
        <v>200</v>
      </c>
      <c r="F19" s="223"/>
      <c r="G19" s="1714" t="s">
        <v>3405</v>
      </c>
    </row>
    <row r="20" spans="1:7" s="206" customFormat="1" ht="13.5" customHeight="1">
      <c r="A20" s="247" t="s">
        <v>1493</v>
      </c>
      <c r="B20" s="202" t="s">
        <v>1494</v>
      </c>
      <c r="C20" s="224">
        <f>ROUND((C5+C19)*F20,0)</f>
        <v>80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253</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251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813</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813</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5641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1540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1367</v>
      </c>
      <c r="D34" s="209"/>
      <c r="E34" s="212"/>
      <c r="F34" s="249">
        <f ca="1">IF('数据-取费表'!B24=0,1,IF(B1="",'数据-取费表'!N16,INDIRECT("'数据-取费表'!n"&amp;$G$1)))</f>
        <v>1</v>
      </c>
      <c r="G34" s="211" t="s">
        <v>1526</v>
      </c>
    </row>
    <row r="35" spans="1:7" ht="13.5" customHeight="1">
      <c r="A35" s="734" t="s">
        <v>351</v>
      </c>
      <c r="B35" s="207" t="s">
        <v>1527</v>
      </c>
      <c r="C35" s="212">
        <f ca="1">ROUND(C34*F35,0)</f>
        <v>68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78</v>
      </c>
      <c r="D37" s="209">
        <f ca="1">D19</f>
        <v>3905.76</v>
      </c>
      <c r="E37" s="241">
        <f>'数据-取费表'!B35</f>
        <v>200</v>
      </c>
      <c r="F37" s="251"/>
      <c r="G37" s="253" t="s">
        <v>1532</v>
      </c>
    </row>
    <row r="38" spans="1:7" ht="13.5" customHeight="1">
      <c r="A38" s="734" t="s">
        <v>354</v>
      </c>
      <c r="B38" s="207" t="s">
        <v>1533</v>
      </c>
      <c r="C38" s="212">
        <f ca="1">ROUND(C34*F38,0)</f>
        <v>27</v>
      </c>
      <c r="D38" s="212"/>
      <c r="E38" s="212"/>
      <c r="F38" s="251">
        <f>'数据-取费表'!B36</f>
        <v>0.02</v>
      </c>
      <c r="G38" s="211" t="s">
        <v>1528</v>
      </c>
    </row>
    <row r="39" spans="1:7" s="206" customFormat="1" ht="13.5" customHeight="1">
      <c r="A39" s="247" t="s">
        <v>1534</v>
      </c>
      <c r="B39" s="202" t="s">
        <v>1535</v>
      </c>
      <c r="C39" s="224">
        <f ca="1">ROUND(C33*F20,0)</f>
        <v>31</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49</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48</v>
      </c>
      <c r="D42" s="230"/>
      <c r="E42" s="230"/>
      <c r="F42" s="231"/>
      <c r="G42" s="3327" t="s">
        <v>1544</v>
      </c>
    </row>
    <row r="43" spans="1:7" ht="13.5" customHeight="1">
      <c r="A43" s="734" t="s">
        <v>347</v>
      </c>
      <c r="B43" s="207" t="s">
        <v>1545</v>
      </c>
      <c r="C43" s="230">
        <f ca="1">ROUND(IF('数据-取费表'!B22&lt;=1,C39*F22*'数据-取费表'!B21/2,C39*(POWER((1+F22),'数据-取费表'!B21/2)-1)),0)</f>
        <v>1</v>
      </c>
      <c r="D43" s="230"/>
      <c r="E43" s="230"/>
      <c r="F43" s="231"/>
      <c r="G43" s="3328"/>
    </row>
    <row r="44" spans="1:7" ht="13.5" customHeight="1">
      <c r="A44" s="734" t="s">
        <v>348</v>
      </c>
      <c r="B44" s="207" t="s">
        <v>1546</v>
      </c>
      <c r="C44" s="230">
        <f ca="1">ROUND(IF('数据-取费表'!B22&lt;=1,C40*F22*'数据-取费表'!B21/2,C40*(POWER((1+F22),'数据-取费表'!B21/2)-1)),4)</f>
        <v>8.9999999999999998E-4</v>
      </c>
      <c r="D44" s="230"/>
      <c r="E44" s="230"/>
      <c r="F44" s="231"/>
      <c r="G44" s="3329"/>
    </row>
    <row r="45" spans="1:7" s="206" customFormat="1" ht="13.5" customHeight="1">
      <c r="A45" s="247" t="s">
        <v>1547</v>
      </c>
      <c r="B45" s="236" t="s">
        <v>1513</v>
      </c>
      <c r="C45" s="237">
        <f ca="1">C46</f>
        <v>314</v>
      </c>
      <c r="D45" s="227">
        <f ca="1">C47</f>
        <v>6.0000000000000001E-3</v>
      </c>
      <c r="E45" s="228" t="s">
        <v>1539</v>
      </c>
      <c r="F45" s="238">
        <f ca="1">F27</f>
        <v>0.2</v>
      </c>
      <c r="G45" s="239" t="s">
        <v>1548</v>
      </c>
    </row>
    <row r="46" spans="1:7" s="206" customFormat="1" ht="13.5" customHeight="1">
      <c r="A46" s="734" t="s">
        <v>346</v>
      </c>
      <c r="B46" s="240" t="s">
        <v>1549</v>
      </c>
      <c r="C46" s="241">
        <f ca="1">ROUND((C33+C39)*F27,0)</f>
        <v>314</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2126</v>
      </c>
      <c r="D49" s="224"/>
      <c r="E49" s="224"/>
      <c r="F49" s="256"/>
      <c r="G49" s="226" t="s">
        <v>1554</v>
      </c>
    </row>
    <row r="50" spans="1:7" s="250" customFormat="1" ht="24">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1552</v>
      </c>
      <c r="D51" s="224"/>
      <c r="E51" s="224"/>
      <c r="F51" s="256"/>
      <c r="G51" s="226" t="s">
        <v>1560</v>
      </c>
    </row>
    <row r="52" spans="1:7" s="200" customFormat="1" ht="16.5" thickBot="1">
      <c r="A52" s="257" t="s">
        <v>1561</v>
      </c>
      <c r="B52" s="258"/>
      <c r="C52" s="259">
        <f ca="1">C31+C51</f>
        <v>7193</v>
      </c>
      <c r="D52" s="258"/>
      <c r="E52" s="258"/>
      <c r="F52" s="258"/>
      <c r="G52" s="260"/>
    </row>
    <row r="55" spans="1:7" ht="15">
      <c r="B55" s="262" t="s">
        <v>1562</v>
      </c>
      <c r="C55" s="263"/>
    </row>
    <row r="56" spans="1:7">
      <c r="B56" s="265" t="s">
        <v>802</v>
      </c>
      <c r="C56" s="267">
        <f ca="1">1-C57</f>
        <v>0.78400000000000003</v>
      </c>
    </row>
    <row r="57" spans="1:7">
      <c r="B57" s="265" t="s">
        <v>803</v>
      </c>
      <c r="C57" s="266">
        <f ca="1">ROUND(C51/C52,3)</f>
        <v>0.216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5" t="str">
        <f>项目基本情况!B1</f>
        <v>北京市房地产抵押价值预评估</v>
      </c>
      <c r="C37" s="3145"/>
      <c r="D37" s="3145"/>
      <c r="E37" s="3145"/>
      <c r="F37" s="3145"/>
      <c r="G37" s="3145"/>
      <c r="H37" s="3145"/>
      <c r="I37" s="314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1773.4458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4541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781152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781152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781152</v>
      </c>
      <c r="D10" s="795">
        <f ca="1">IF(B1="",'数据-汇总表'!E6,IF(INDIRECT("'数据-取费表'!c"&amp;$G$1)="住宅",INDIRECT("'数据-取费表'!s"&amp;$G$1),INDIRECT("'数据-取费表'!k"&amp;$G$1)+INDIRECT("'数据-取费表'!s"&amp;$G$1)))</f>
        <v>3905.76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781152</v>
      </c>
      <c r="D19" s="204">
        <f ca="1">D9+D10</f>
        <v>3905.76</v>
      </c>
      <c r="E19" s="203">
        <f>'数据-取费表'!B31</f>
        <v>200</v>
      </c>
      <c r="F19" s="223"/>
      <c r="G19" s="1714"/>
    </row>
    <row r="20" spans="1:7" s="206" customFormat="1" ht="13.5" customHeight="1">
      <c r="A20" s="247" t="s">
        <v>1574</v>
      </c>
      <c r="B20" s="202" t="s">
        <v>1575</v>
      </c>
      <c r="C20" s="224">
        <f ca="1">ROUND((C5+C19)*F20,0)</f>
        <v>31246</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99333</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49182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49182</v>
      </c>
      <c r="D24" s="230"/>
      <c r="E24" s="230"/>
      <c r="F24" s="231"/>
      <c r="G24" s="232" t="s">
        <v>1586</v>
      </c>
    </row>
    <row r="25" spans="1:7" s="206" customFormat="1" ht="24">
      <c r="A25" s="734" t="s">
        <v>1476</v>
      </c>
      <c r="B25" s="207" t="s">
        <v>1587</v>
      </c>
      <c r="C25" s="230">
        <f ca="1">ROUND(IF('数据-取费表'!B22&lt;=1,C20*F22*'数据-取费表'!B22/2,C20*(POWER((1+F22),'数据-取费表'!B22/2)-1)),0)</f>
        <v>969</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318710</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318710</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2211028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15408223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13670160</v>
      </c>
      <c r="D34" s="209"/>
      <c r="E34" s="212"/>
      <c r="F34" s="249"/>
      <c r="G34" s="211"/>
    </row>
    <row r="35" spans="1:7" ht="13.5" customHeight="1">
      <c r="A35" s="734" t="s">
        <v>351</v>
      </c>
      <c r="B35" s="207" t="s">
        <v>1527</v>
      </c>
      <c r="C35" s="212">
        <f ca="1">ROUND(C34*F35,0)</f>
        <v>683508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781152</v>
      </c>
      <c r="D37" s="209">
        <f ca="1">D19</f>
        <v>3905.76</v>
      </c>
      <c r="E37" s="241">
        <f>'数据-取费表'!B35</f>
        <v>200</v>
      </c>
      <c r="F37" s="251"/>
      <c r="G37" s="253"/>
    </row>
    <row r="38" spans="1:7" ht="13.5" customHeight="1">
      <c r="A38" s="734" t="s">
        <v>354</v>
      </c>
      <c r="B38" s="207" t="s">
        <v>1533</v>
      </c>
      <c r="C38" s="212">
        <f ca="1">ROUND(C34*F38,0)</f>
        <v>273403</v>
      </c>
      <c r="D38" s="212"/>
      <c r="E38" s="212"/>
      <c r="F38" s="251">
        <f>'数据-取费表'!B36</f>
        <v>0.02</v>
      </c>
      <c r="G38" s="211" t="s">
        <v>1528</v>
      </c>
    </row>
    <row r="39" spans="1:7" s="206" customFormat="1" ht="13.5" customHeight="1">
      <c r="A39" s="247" t="s">
        <v>1534</v>
      </c>
      <c r="B39" s="202" t="s">
        <v>1535</v>
      </c>
      <c r="C39" s="224">
        <f ca="1">ROUND(C33*F20,0)</f>
        <v>308164</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487208</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477655</v>
      </c>
      <c r="D42" s="230"/>
      <c r="E42" s="230"/>
      <c r="F42" s="231"/>
      <c r="G42" s="3327" t="s">
        <v>1591</v>
      </c>
    </row>
    <row r="43" spans="1:7" ht="13.5" customHeight="1">
      <c r="A43" s="734" t="s">
        <v>347</v>
      </c>
      <c r="B43" s="207" t="s">
        <v>1545</v>
      </c>
      <c r="C43" s="230">
        <f ca="1">ROUND(IF('数据-取费表'!B22&lt;=1,C39*F22*'数据-取费表'!B20/2,C39*(POWER((1+F22),'数据-取费表'!B20/2)-1)),0)</f>
        <v>9553</v>
      </c>
      <c r="D43" s="230"/>
      <c r="E43" s="230"/>
      <c r="F43" s="231"/>
      <c r="G43" s="3328"/>
    </row>
    <row r="44" spans="1:7" ht="13.5" customHeight="1">
      <c r="A44" s="734" t="s">
        <v>348</v>
      </c>
      <c r="B44" s="207" t="s">
        <v>1546</v>
      </c>
      <c r="C44" s="230">
        <f ca="1">ROUND(IF('数据-取费表'!B22&lt;=1,C40*F22*'数据-取费表'!B20/2,C40*(POWER((1+F22),'数据-取费表'!B20/2)-1)),4)</f>
        <v>8.9999999999999998E-4</v>
      </c>
      <c r="D44" s="230"/>
      <c r="E44" s="230"/>
      <c r="F44" s="231"/>
      <c r="G44" s="3329"/>
    </row>
    <row r="45" spans="1:7" s="206" customFormat="1" ht="13.5" customHeight="1">
      <c r="A45" s="247" t="s">
        <v>1547</v>
      </c>
      <c r="B45" s="236" t="s">
        <v>1513</v>
      </c>
      <c r="C45" s="237">
        <f ca="1">C46</f>
        <v>3143277</v>
      </c>
      <c r="D45" s="227">
        <f ca="1">C47</f>
        <v>6.0000000000000001E-3</v>
      </c>
      <c r="E45" s="228" t="s">
        <v>1539</v>
      </c>
      <c r="F45" s="238">
        <f ca="1">F27</f>
        <v>0.2</v>
      </c>
      <c r="G45" s="239" t="s">
        <v>1548</v>
      </c>
    </row>
    <row r="46" spans="1:7" s="206" customFormat="1" ht="13.5" customHeight="1">
      <c r="A46" s="734" t="s">
        <v>346</v>
      </c>
      <c r="B46" s="240" t="s">
        <v>1549</v>
      </c>
      <c r="C46" s="241">
        <f ca="1">ROUND((C33+C39)*F27,0)</f>
        <v>3143277</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21264973</v>
      </c>
      <c r="D49" s="224"/>
      <c r="E49" s="224"/>
      <c r="F49" s="256"/>
      <c r="G49" s="226" t="s">
        <v>1554</v>
      </c>
    </row>
    <row r="50" spans="1:7" s="250" customFormat="1">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15523430</v>
      </c>
      <c r="D51" s="224"/>
      <c r="E51" s="224"/>
      <c r="F51" s="256"/>
      <c r="G51" s="226" t="s">
        <v>1560</v>
      </c>
    </row>
    <row r="52" spans="1:7" s="200" customFormat="1" ht="16.5" thickBot="1">
      <c r="A52" s="257" t="s">
        <v>1561</v>
      </c>
      <c r="B52" s="258"/>
      <c r="C52" s="259">
        <f ca="1">C31+C51</f>
        <v>17734458</v>
      </c>
      <c r="D52" s="258"/>
      <c r="E52" s="258"/>
      <c r="F52" s="258"/>
      <c r="G52" s="260"/>
    </row>
    <row r="55" spans="1:7" ht="15">
      <c r="B55" s="262" t="s">
        <v>1562</v>
      </c>
      <c r="C55" s="263"/>
    </row>
    <row r="56" spans="1:7">
      <c r="B56" s="265" t="s">
        <v>802</v>
      </c>
      <c r="C56" s="267">
        <f ca="1">1-C57</f>
        <v>0.125</v>
      </c>
    </row>
    <row r="57" spans="1:7">
      <c r="B57" s="265" t="s">
        <v>803</v>
      </c>
      <c r="C57" s="266">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-93</v>
      </c>
      <c r="C2" s="268" t="s">
        <v>1595</v>
      </c>
      <c r="D2" s="268"/>
      <c r="E2" s="2568"/>
      <c r="F2" s="2568"/>
      <c r="G2" s="2568"/>
      <c r="H2" s="2568"/>
      <c r="I2" s="2568"/>
      <c r="J2" s="2568"/>
      <c r="K2" s="2568"/>
    </row>
    <row r="3" spans="1:33" ht="18" customHeight="1" thickBot="1">
      <c r="A3" s="195" t="s">
        <v>1464</v>
      </c>
      <c r="B3" s="196">
        <f ca="1">ROUND(B2*10000/IF(C1="",'数据-汇总表'!E3,INDIRECT("'数据-取费表'!K"&amp;$K$1)),0)</f>
        <v>-238</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3905.76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3905.76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78</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78</v>
      </c>
      <c r="D20" s="796">
        <f ca="1">IF(C1="",'数据-汇总表'!E6,IF(INDIRECT("'数据-取费表'!c"&amp;$K$1)="住宅",INDIRECT("'数据-取费表'!s"&amp;$K$1),INDIRECT("'数据-取费表'!k"&amp;$K$1)+INDIRECT("'数据-取费表'!s"&amp;$K$1)))</f>
        <v>3905.76</v>
      </c>
      <c r="E20" s="21">
        <f>'数据-取费表'!B28</f>
        <v>200</v>
      </c>
      <c r="F20" s="756"/>
      <c r="G20" s="12"/>
      <c r="H20" s="761"/>
      <c r="I20" s="761"/>
      <c r="J20" s="761"/>
      <c r="K20" s="762"/>
    </row>
    <row r="21" spans="1:33" s="755" customFormat="1" ht="13.5" customHeight="1">
      <c r="A21" s="744" t="s">
        <v>357</v>
      </c>
      <c r="B21" s="765" t="s">
        <v>1628</v>
      </c>
      <c r="C21" s="766">
        <f ca="1">C16+C17+C18</f>
        <v>78</v>
      </c>
      <c r="D21" s="767"/>
      <c r="E21" s="273"/>
      <c r="F21" s="273"/>
      <c r="G21" s="123" t="s">
        <v>1629</v>
      </c>
      <c r="H21" s="759"/>
      <c r="I21" s="759"/>
      <c r="J21" s="759"/>
      <c r="K21" s="760"/>
    </row>
    <row r="22" spans="1:33" s="755" customFormat="1" ht="13.5" customHeight="1">
      <c r="A22" s="744" t="s">
        <v>1601</v>
      </c>
      <c r="B22" s="765" t="s">
        <v>1630</v>
      </c>
      <c r="C22" s="766">
        <f ca="1">ROUND(C21*F22,0)</f>
        <v>2</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16</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16</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-93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N1" zoomScale="85" zoomScaleNormal="80" zoomScaleSheetLayoutView="85" workbookViewId="0">
      <selection activeCell="V28" sqref="V2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976.22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3868</v>
      </c>
      <c r="C2" s="1846" t="s">
        <v>1935</v>
      </c>
      <c r="D2" s="162" t="s">
        <v>1936</v>
      </c>
      <c r="E2" s="3121"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Ⅴ-32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13320</v>
      </c>
      <c r="U2" s="1130">
        <f>'数据-基础表'!I13</f>
        <v>1330.07</v>
      </c>
      <c r="V2" s="3064">
        <f>ROUND(T2*U2/10000,0)</f>
        <v>1772</v>
      </c>
      <c r="W2" s="1133"/>
      <c r="X2" s="1133"/>
      <c r="Y2" s="1133"/>
      <c r="Z2" s="1133"/>
      <c r="AA2" s="1133"/>
      <c r="AB2" s="1133"/>
      <c r="AC2" s="1134"/>
      <c r="AD2" s="1135"/>
      <c r="AE2" s="1135"/>
      <c r="AF2" s="1135"/>
      <c r="AG2" s="1135"/>
      <c r="AH2" s="1135"/>
      <c r="AI2" s="1135"/>
      <c r="AJ2" s="1136"/>
    </row>
    <row r="3" spans="1:36" ht="15.75">
      <c r="A3" s="195" t="s">
        <v>1940</v>
      </c>
      <c r="B3" s="196">
        <f>ROUND(B2*10000/D1,0)</f>
        <v>39622</v>
      </c>
      <c r="C3" s="1846" t="s">
        <v>1941</v>
      </c>
      <c r="D3" s="162" t="s">
        <v>1942</v>
      </c>
      <c r="E3" s="3119" t="s">
        <v>2441</v>
      </c>
      <c r="F3" s="1848" t="s">
        <v>3398</v>
      </c>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10499</v>
      </c>
      <c r="U3" s="1130">
        <f>'数据-基础表'!I14</f>
        <v>968.83</v>
      </c>
      <c r="V3" s="3064">
        <f t="shared" ref="V3:V16" si="1">ROUND(T3*U3/10000,0)</f>
        <v>1017</v>
      </c>
      <c r="W3" s="1133"/>
      <c r="X3" s="1133"/>
      <c r="Y3" s="1133"/>
      <c r="Z3" s="1133"/>
      <c r="AA3" s="1133"/>
      <c r="AB3" s="1133"/>
      <c r="AC3" s="1134"/>
      <c r="AD3" s="1135"/>
      <c r="AE3" s="1135"/>
      <c r="AF3" s="1135"/>
      <c r="AG3" s="1135"/>
      <c r="AH3" s="1135"/>
      <c r="AI3" s="1135"/>
      <c r="AJ3" s="1136"/>
    </row>
    <row r="4" spans="1:36" ht="15.75">
      <c r="A4" s="3438"/>
      <c r="B4" s="3439"/>
      <c r="C4" s="3439"/>
      <c r="D4" s="3440"/>
      <c r="E4" s="3440"/>
      <c r="F4" s="3440"/>
      <c r="G4" s="3440"/>
      <c r="H4" s="3440"/>
      <c r="I4" s="3440"/>
      <c r="J4" s="344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8873</v>
      </c>
      <c r="U4" s="1130">
        <f>'数据-基础表'!I15</f>
        <v>630.64</v>
      </c>
      <c r="V4" s="3064">
        <f t="shared" si="1"/>
        <v>560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14734</v>
      </c>
      <c r="D5" s="1252">
        <f>ROUND(C6*C17+C20,0)</f>
        <v>14734</v>
      </c>
      <c r="E5" s="1252"/>
      <c r="F5" s="1851"/>
      <c r="G5" s="1852"/>
      <c r="H5" s="1852"/>
      <c r="I5" s="1852"/>
      <c r="J5" s="1853"/>
      <c r="K5" s="1854"/>
      <c r="L5" s="1847" t="s">
        <v>1948</v>
      </c>
      <c r="M5" s="811">
        <f>SUMPRODUCT((区片价!B87:B126=I2)*(区片价!C3:G3=E2)*(区片价!C87:G126))</f>
        <v>14860</v>
      </c>
      <c r="N5" s="813">
        <f>SUMPRODUCT((因素修正幅度!B87:B126=I2)*(因素修正幅度!C3:G3=E2)*(因素修正幅度!C87:G126))</f>
        <v>0.1</v>
      </c>
      <c r="O5" s="1056"/>
      <c r="P5" s="1056"/>
      <c r="Q5" s="1056"/>
      <c r="R5" s="1129">
        <v>4</v>
      </c>
      <c r="S5" s="3064">
        <f>ROUND(SUMPRODUCT((B106:B110=R5)*(C105:N105=G2)*(C106:N110)),4)</f>
        <v>0.88239999999999996</v>
      </c>
      <c r="T5" s="3064">
        <f t="shared" si="0"/>
        <v>7826</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14860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7521</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3229</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五级</v>
      </c>
      <c r="Y7" s="1131" t="s">
        <v>1956</v>
      </c>
      <c r="Z7" s="1132">
        <f>G3</f>
        <v>0</v>
      </c>
      <c r="AA7" s="1133"/>
      <c r="AB7" s="1133"/>
      <c r="AC7" s="1134"/>
      <c r="AD7" s="1135"/>
      <c r="AE7" s="1135"/>
      <c r="AF7" s="1135"/>
      <c r="AG7" s="1135"/>
      <c r="AH7" s="1135"/>
      <c r="AI7" s="1135"/>
      <c r="AJ7" s="1136"/>
    </row>
    <row r="8" spans="1:36" ht="25.5">
      <c r="A8" s="3010"/>
      <c r="B8" s="162" t="s">
        <v>1957</v>
      </c>
      <c r="C8" s="1870" t="s">
        <v>3399</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35" t="s">
        <v>1960</v>
      </c>
      <c r="X8" s="343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37"/>
      <c r="X9" s="3065" t="s">
        <v>3260</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3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3230</v>
      </c>
      <c r="B12" s="3014" t="s">
        <v>3231</v>
      </c>
      <c r="C12" s="3015"/>
      <c r="D12" s="3016" t="s">
        <v>3232</v>
      </c>
      <c r="E12" s="3017" t="s">
        <v>3233</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3234</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3235</v>
      </c>
      <c r="G14" s="3021" t="s">
        <v>3235</v>
      </c>
      <c r="H14" s="3021" t="s">
        <v>3235</v>
      </c>
      <c r="I14" s="3021" t="s">
        <v>3235</v>
      </c>
      <c r="J14" s="3021" t="s">
        <v>3235</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3236</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3237</v>
      </c>
      <c r="B17" s="3028" t="s">
        <v>3238</v>
      </c>
      <c r="C17" s="3037">
        <f>ROUND(IF(OR(E2="工业",E2="公共服务"),1,IF(AND(E18=0,E19=0),1,IF(AND(E18=J24,E19=G19),0.8,IF(E19=0,1+E17*(-0.2),1+E17*G17*(-0.2))))),4)</f>
        <v>1</v>
      </c>
      <c r="D17" s="3029" t="s">
        <v>3239</v>
      </c>
      <c r="E17" s="3037">
        <f>ROUND(G18/I18,2)</f>
        <v>0</v>
      </c>
      <c r="F17" s="3029" t="s">
        <v>3242</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3240</v>
      </c>
      <c r="E18" s="2357"/>
      <c r="F18" s="3031" t="s">
        <v>3243</v>
      </c>
      <c r="G18" s="3035">
        <f>ROUND(1-(1/(POWER(1+G24,E18))),4)</f>
        <v>0</v>
      </c>
      <c r="H18" s="3031" t="s">
        <v>3245</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3241</v>
      </c>
      <c r="E19" s="3044"/>
      <c r="F19" s="3045" t="s">
        <v>3244</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42" t="s">
        <v>3246</v>
      </c>
      <c r="B20" s="159" t="s">
        <v>1994</v>
      </c>
      <c r="C20" s="3032">
        <f>ROUND(IF(F21="与级别开发程度一致",0,(G21-E21)/C21),0)</f>
        <v>-126</v>
      </c>
      <c r="D20" s="3047" t="s">
        <v>1998</v>
      </c>
      <c r="E20" s="3048"/>
      <c r="F20" s="3448" t="s">
        <v>1995</v>
      </c>
      <c r="G20" s="3449"/>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43"/>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6" t="s">
        <v>2002</v>
      </c>
      <c r="E23" s="717">
        <v>44197</v>
      </c>
      <c r="F23" s="1896" t="s">
        <v>2003</v>
      </c>
      <c r="G23" s="718">
        <f>'数据-取费表'!B2</f>
        <v>45629</v>
      </c>
      <c r="H23" s="3049" t="s">
        <v>3248</v>
      </c>
      <c r="I23" s="3050" t="str">
        <f>IF(H23="季度增幅（自定义）",SUMIF(N25:N28,E2,O25:O28),"")</f>
        <v/>
      </c>
      <c r="J23" s="3142" t="s">
        <v>3247</v>
      </c>
      <c r="K23" s="1061"/>
      <c r="L23" s="1897" t="s">
        <v>2004</v>
      </c>
      <c r="M23" s="1241">
        <f>ROUND(SUMIF(地价!B2:G2,E2,地价!B16:G16),0)</f>
        <v>350</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0.70020000000000004</v>
      </c>
      <c r="D24" s="1902" t="s">
        <v>2007</v>
      </c>
      <c r="E24" s="1248">
        <f>存贷款利率!E27/100</f>
        <v>4.3499999999999997E-2</v>
      </c>
      <c r="F24" s="1902" t="s">
        <v>1999</v>
      </c>
      <c r="G24" s="724">
        <f>SUMIF(M30:Q30,E2,M33:Q33)</f>
        <v>5.5E-2</v>
      </c>
      <c r="H24" s="1902" t="s">
        <v>2008</v>
      </c>
      <c r="I24" s="725">
        <f>SUMIF('数据-取费表'!C6:C15,E2,'数据-取费表'!F6:F15)/COUNTIF('数据-取费表'!C6:C15,E2)</f>
        <v>17.97</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3400</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3250</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1.0285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3868</v>
      </c>
      <c r="D30" s="1925"/>
      <c r="E30" s="1842"/>
      <c r="F30" s="1926"/>
      <c r="G30" s="1842"/>
      <c r="H30" s="1842"/>
      <c r="I30" s="1842"/>
      <c r="J30" s="1927"/>
      <c r="K30" s="1056"/>
      <c r="L30" s="3056" t="s">
        <v>1936</v>
      </c>
      <c r="M30" s="3057" t="s">
        <v>1990</v>
      </c>
      <c r="N30" s="3057" t="s">
        <v>1991</v>
      </c>
      <c r="O30" s="3057" t="s">
        <v>1992</v>
      </c>
      <c r="P30" s="3057" t="s">
        <v>1993</v>
      </c>
      <c r="Q30" s="3060" t="s">
        <v>3254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130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c r="E33" s="727">
        <f>ROUND(C33*D33/10000,0)</f>
        <v>0</v>
      </c>
      <c r="F33" s="3051" t="s">
        <v>3252</v>
      </c>
      <c r="G33" s="1941"/>
      <c r="H33" s="1941"/>
      <c r="I33" s="1941"/>
      <c r="J33" s="1942"/>
      <c r="K33" s="1056"/>
      <c r="L33" s="3054" t="s">
        <v>3255</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3256</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3257</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46"/>
      <c r="B37" s="1955" t="s">
        <v>2036</v>
      </c>
      <c r="C37" s="167">
        <f>ROUND(D5*C22*C23*C24*C28*F37,0)</f>
        <v>5321</v>
      </c>
      <c r="D37" s="1940">
        <f>'数据-汇总表'!G19</f>
        <v>976.22</v>
      </c>
      <c r="E37" s="163">
        <f>ROUND(C37*D37/10000,0)</f>
        <v>519</v>
      </c>
      <c r="F37" s="163">
        <f>SUMIF(修正!A57:A68,G2,修正!B57:B68)</f>
        <v>0.6</v>
      </c>
      <c r="G37" s="163">
        <f>ROUND(IF(E2="工业",C37*$M$42,C37*$M$41),0)</f>
        <v>1330</v>
      </c>
      <c r="H37" s="163">
        <f>D37</f>
        <v>976.22</v>
      </c>
      <c r="I37" s="163">
        <f>ROUND(G37*H37/10000,0)</f>
        <v>130</v>
      </c>
      <c r="J37" s="2755"/>
      <c r="K37" s="3062" t="s">
        <v>3258</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7"/>
      <c r="B38" s="1884" t="s">
        <v>2037</v>
      </c>
      <c r="C38" s="167">
        <f>ROUND(D5*C22*C23*C24*C28*F38,0)</f>
        <v>2661</v>
      </c>
      <c r="D38" s="1940"/>
      <c r="E38" s="163">
        <f t="shared" ref="E38:E42" si="4">ROUND(C38*D38/10000,0)</f>
        <v>0</v>
      </c>
      <c r="F38" s="163">
        <f>SUMIF(修正!A57:A68,G2,修正!C57:C68)</f>
        <v>0.3</v>
      </c>
      <c r="G38" s="163">
        <f>ROUND(IF(E2="工业",C38*$M$42,C38*$M$41),0)</f>
        <v>665</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47"/>
      <c r="B39" s="1884" t="s">
        <v>3251</v>
      </c>
      <c r="C39" s="167">
        <f>ROUND(D5*C22*C23*C24*C28*F39,0)</f>
        <v>2217</v>
      </c>
      <c r="D39" s="1940"/>
      <c r="E39" s="163">
        <f t="shared" si="4"/>
        <v>0</v>
      </c>
      <c r="F39" s="163">
        <f>SUMIF(修正!A57:A68,G2,修正!D57:D68)</f>
        <v>0.25</v>
      </c>
      <c r="G39" s="163">
        <f>ROUND(IF(E2="工业",C39*$M$42,C39*$M$41),0)</f>
        <v>554</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2217</v>
      </c>
      <c r="D40" s="1940"/>
      <c r="E40" s="163">
        <f t="shared" si="4"/>
        <v>0</v>
      </c>
      <c r="F40" s="167">
        <f>SUMIF(修正!A57:A68,G2,修正!E57:E68)</f>
        <v>0.25</v>
      </c>
      <c r="G40" s="163">
        <f>ROUND(IF(E2="工业",C40*$M$42,C40*$M$41),0)</f>
        <v>554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3259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1.0285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3401</v>
      </c>
      <c r="D50" s="1002">
        <f t="shared" ref="D50:D58" si="7">SUMIF($J$49:$N$49,C50,J50:N50)</f>
        <v>0</v>
      </c>
      <c r="E50" s="702">
        <f>ROUND(SUM(D50:D58),4)</f>
        <v>2.8500000000000001E-2</v>
      </c>
      <c r="F50" s="1675">
        <f>IF(E2="商业",SUMIF(L1:L12,G2,N1:N12),"——")</f>
        <v>0.1</v>
      </c>
      <c r="G50" s="1000">
        <f>H50</f>
        <v>1.4999999999999999E-2</v>
      </c>
      <c r="H50" s="1003">
        <f t="shared" ref="H50:H58" si="8">IFERROR(ROUNDDOWN($F$50*I50/2,4),"——")</f>
        <v>1.4999999999999999E-2</v>
      </c>
      <c r="I50" s="3069">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3402</v>
      </c>
      <c r="D51" s="1002">
        <f t="shared" si="7"/>
        <v>1.0999999999999999E-2</v>
      </c>
      <c r="E51" s="703"/>
      <c r="F51" s="1675"/>
      <c r="G51" s="1000">
        <f t="shared" ref="G51:G58" si="12">H51</f>
        <v>1.0999999999999999E-2</v>
      </c>
      <c r="H51" s="1003">
        <f t="shared" si="8"/>
        <v>1.0999999999999999E-2</v>
      </c>
      <c r="I51" s="3069">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c r="A52" s="3071" t="s">
        <v>3261</v>
      </c>
      <c r="B52" s="1262">
        <f>估价对象房地状况!C19</f>
        <v>0</v>
      </c>
      <c r="C52" s="1887" t="s">
        <v>3402</v>
      </c>
      <c r="D52" s="1002">
        <f t="shared" si="7"/>
        <v>6.0000000000000001E-3</v>
      </c>
      <c r="E52" s="703"/>
      <c r="F52" s="1675"/>
      <c r="G52" s="1000">
        <f t="shared" si="12"/>
        <v>6.0000000000000001E-3</v>
      </c>
      <c r="H52" s="1003">
        <f t="shared" si="8"/>
        <v>6.0000000000000001E-3</v>
      </c>
      <c r="I52" s="3069">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c r="A53" s="1970" t="s">
        <v>2054</v>
      </c>
      <c r="B53" s="1974" t="s">
        <v>2055</v>
      </c>
      <c r="C53" s="1887" t="s">
        <v>3402</v>
      </c>
      <c r="D53" s="1002">
        <f t="shared" si="7"/>
        <v>2.5000000000000001E-3</v>
      </c>
      <c r="E53" s="703"/>
      <c r="F53" s="1675"/>
      <c r="G53" s="1000">
        <f t="shared" si="12"/>
        <v>2.5000000000000001E-3</v>
      </c>
      <c r="H53" s="1003">
        <f t="shared" si="8"/>
        <v>2.5000000000000001E-3</v>
      </c>
      <c r="I53" s="3069">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3401</v>
      </c>
      <c r="D54" s="1002">
        <f t="shared" si="7"/>
        <v>0</v>
      </c>
      <c r="E54" s="703"/>
      <c r="F54" s="1675"/>
      <c r="G54" s="1000">
        <f t="shared" si="12"/>
        <v>4.0000000000000001E-3</v>
      </c>
      <c r="H54" s="1003">
        <f t="shared" si="8"/>
        <v>4.0000000000000001E-3</v>
      </c>
      <c r="I54" s="3069">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c r="A55" s="1970" t="s">
        <v>2057</v>
      </c>
      <c r="B55" s="1975" t="s">
        <v>2058</v>
      </c>
      <c r="C55" s="1887" t="s">
        <v>3402</v>
      </c>
      <c r="D55" s="1002">
        <f t="shared" si="7"/>
        <v>2.5000000000000001E-3</v>
      </c>
      <c r="E55" s="703"/>
      <c r="F55" s="1675"/>
      <c r="G55" s="1000">
        <f t="shared" si="12"/>
        <v>2.5000000000000001E-3</v>
      </c>
      <c r="H55" s="1003">
        <f t="shared" si="8"/>
        <v>2.5000000000000001E-3</v>
      </c>
      <c r="I55" s="3069">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3402</v>
      </c>
      <c r="D56" s="1002">
        <f t="shared" si="7"/>
        <v>2.5000000000000001E-3</v>
      </c>
      <c r="E56" s="703"/>
      <c r="F56" s="1675"/>
      <c r="G56" s="1000">
        <f t="shared" si="12"/>
        <v>2.5000000000000001E-3</v>
      </c>
      <c r="H56" s="1003">
        <f t="shared" si="8"/>
        <v>2.5000000000000001E-3</v>
      </c>
      <c r="I56" s="3069">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3402</v>
      </c>
      <c r="D57" s="1002">
        <f t="shared" si="7"/>
        <v>4.0000000000000001E-3</v>
      </c>
      <c r="E57" s="703"/>
      <c r="F57" s="1675"/>
      <c r="G57" s="1000">
        <f t="shared" si="12"/>
        <v>4.0000000000000001E-3</v>
      </c>
      <c r="H57" s="1003">
        <f t="shared" si="8"/>
        <v>4.0000000000000001E-3</v>
      </c>
      <c r="I57" s="3069">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3401</v>
      </c>
      <c r="D58" s="1002">
        <f t="shared" si="7"/>
        <v>0</v>
      </c>
      <c r="E58" s="704"/>
      <c r="F58" s="1675"/>
      <c r="G58" s="1000">
        <f t="shared" si="12"/>
        <v>2.5000000000000001E-3</v>
      </c>
      <c r="H58" s="1003">
        <f t="shared" si="8"/>
        <v>2.5000000000000001E-3</v>
      </c>
      <c r="I58" s="3070">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f>估价对象房地状况!C18</f>
        <v>0</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3261</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f>估价对象房地状况!C21</f>
        <v>0</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f>估价对象房地状况!C22</f>
        <v>0</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f>估价对象房地状况!C20</f>
        <v>0</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3261</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3262</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2604</v>
      </c>
      <c r="B91" s="3080">
        <f>1+E93</f>
        <v>1</v>
      </c>
      <c r="C91" s="3073"/>
      <c r="D91" s="3074"/>
      <c r="E91" s="1675"/>
      <c r="F91" s="1675"/>
      <c r="G91" s="3075"/>
      <c r="H91" s="3076"/>
      <c r="I91" s="3077"/>
      <c r="J91" s="3078"/>
      <c r="K91" s="3078"/>
      <c r="L91" s="3078"/>
      <c r="M91" s="3078"/>
      <c r="N91" s="3078"/>
    </row>
    <row r="92" spans="1:37" ht="24.75">
      <c r="A92" s="3081" t="s">
        <v>3263</v>
      </c>
      <c r="B92" s="2310"/>
      <c r="C92" s="2310" t="s">
        <v>3272</v>
      </c>
      <c r="D92" s="2310" t="s">
        <v>3273</v>
      </c>
      <c r="E92" s="3053" t="s">
        <v>3274</v>
      </c>
      <c r="F92" s="3083" t="s">
        <v>3275</v>
      </c>
      <c r="G92" s="2310" t="s">
        <v>3276</v>
      </c>
      <c r="H92" s="3090" t="s">
        <v>3279</v>
      </c>
      <c r="I92" s="2310" t="s">
        <v>3280</v>
      </c>
      <c r="J92" s="2150" t="s">
        <v>3281</v>
      </c>
      <c r="K92" s="2150" t="s">
        <v>3282</v>
      </c>
      <c r="L92" s="2150" t="s">
        <v>3283</v>
      </c>
      <c r="M92" s="2150" t="s">
        <v>3284</v>
      </c>
      <c r="N92" s="2150" t="s">
        <v>3285</v>
      </c>
    </row>
    <row r="93" spans="1:37" ht="24">
      <c r="A93" s="3071" t="s">
        <v>3264</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3265</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3261</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3266</v>
      </c>
      <c r="B96" s="3087" t="s">
        <v>3277</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3267</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3268</v>
      </c>
      <c r="B98" s="3088" t="s">
        <v>3278</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3269</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3270</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3271</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44" t="s">
        <v>3286</v>
      </c>
      <c r="B103" s="3444"/>
      <c r="C103" s="3444"/>
      <c r="D103" s="3444"/>
      <c r="E103" s="3444"/>
      <c r="F103" s="3444"/>
      <c r="G103" s="3444"/>
      <c r="H103" s="3444"/>
      <c r="I103" s="3444"/>
      <c r="J103" s="3444"/>
      <c r="K103" s="1667"/>
      <c r="L103" s="1667"/>
      <c r="M103" s="1667"/>
      <c r="N103" s="1667"/>
    </row>
    <row r="104" spans="1:14">
      <c r="A104" s="3445" t="s">
        <v>3287</v>
      </c>
      <c r="B104" s="3445" t="s">
        <v>3288</v>
      </c>
      <c r="C104" s="3091" t="s">
        <v>3289</v>
      </c>
      <c r="D104" s="3092"/>
      <c r="E104" s="3092"/>
      <c r="F104" s="3092"/>
      <c r="G104" s="3092"/>
      <c r="H104" s="3092"/>
      <c r="I104" s="3092"/>
      <c r="J104" s="3093"/>
      <c r="K104" s="3094"/>
      <c r="L104" s="3094"/>
      <c r="M104" s="3094"/>
      <c r="N104" s="3094"/>
    </row>
    <row r="105" spans="1:14">
      <c r="A105" s="3445"/>
      <c r="B105" s="3445"/>
      <c r="C105" s="3095" t="s">
        <v>3290</v>
      </c>
      <c r="D105" s="3095" t="s">
        <v>3291</v>
      </c>
      <c r="E105" s="3095" t="s">
        <v>3292</v>
      </c>
      <c r="F105" s="3095" t="s">
        <v>3293</v>
      </c>
      <c r="G105" s="3095" t="s">
        <v>3294</v>
      </c>
      <c r="H105" s="3095" t="s">
        <v>3295</v>
      </c>
      <c r="I105" s="3095" t="s">
        <v>3296</v>
      </c>
      <c r="J105" s="3095" t="s">
        <v>3297</v>
      </c>
      <c r="K105" s="3095" t="s">
        <v>3298</v>
      </c>
      <c r="L105" s="3095" t="s">
        <v>3299</v>
      </c>
      <c r="M105" s="3095" t="s">
        <v>3300</v>
      </c>
      <c r="N105" s="3095" t="s">
        <v>3301</v>
      </c>
    </row>
    <row r="106" spans="1:14">
      <c r="A106" s="3431" t="s">
        <v>3302</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3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3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3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3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32"/>
      <c r="B111" s="3095" t="s">
        <v>3260</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33"/>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34" t="s">
        <v>3303</v>
      </c>
      <c r="B113" s="3434"/>
      <c r="C113" s="3434"/>
      <c r="D113" s="3434"/>
      <c r="E113" s="3434"/>
      <c r="F113" s="3434"/>
      <c r="G113" s="3434"/>
      <c r="H113" s="3434"/>
      <c r="I113" s="3434"/>
      <c r="J113" s="343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3304</v>
      </c>
      <c r="B116" s="3115">
        <f>G3</f>
        <v>0</v>
      </c>
      <c r="C116" s="3100" t="s">
        <v>3305</v>
      </c>
      <c r="D116" s="3101">
        <f>SUMPRODUCT((A118:A122=F116)*(B117:M117=H116)*B118:M122)</f>
        <v>0.94899999999999995</v>
      </c>
      <c r="E116" s="162" t="s">
        <v>3306</v>
      </c>
      <c r="F116" s="3102" t="str">
        <f>E2</f>
        <v>商业</v>
      </c>
      <c r="G116" s="162" t="s">
        <v>3307</v>
      </c>
      <c r="H116" s="3102" t="str">
        <f>G2</f>
        <v>五级</v>
      </c>
      <c r="I116" s="162"/>
      <c r="J116" s="3103"/>
      <c r="K116" s="3103"/>
      <c r="L116" s="3103"/>
      <c r="M116" s="3103"/>
      <c r="N116" s="3098"/>
    </row>
    <row r="117" spans="1:14">
      <c r="A117" s="3104"/>
      <c r="B117" s="3105" t="s">
        <v>3308</v>
      </c>
      <c r="C117" s="3105" t="s">
        <v>3309</v>
      </c>
      <c r="D117" s="3105" t="s">
        <v>3310</v>
      </c>
      <c r="E117" s="3106" t="s">
        <v>3311</v>
      </c>
      <c r="F117" s="3106" t="s">
        <v>3312</v>
      </c>
      <c r="G117" s="3106" t="s">
        <v>3313</v>
      </c>
      <c r="H117" s="3107" t="s">
        <v>3314</v>
      </c>
      <c r="I117" s="3107" t="s">
        <v>3315</v>
      </c>
      <c r="J117" s="3108" t="s">
        <v>3316</v>
      </c>
      <c r="K117" s="3108" t="s">
        <v>3317</v>
      </c>
      <c r="L117" s="3108" t="s">
        <v>3318</v>
      </c>
      <c r="M117" s="3109" t="s">
        <v>3319</v>
      </c>
      <c r="N117" s="3098"/>
    </row>
    <row r="118" spans="1:14">
      <c r="A118" s="3058" t="s">
        <v>3320</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6">I118</f>
        <v>0.84860000000000002</v>
      </c>
      <c r="K118" s="3090">
        <f t="shared" si="36"/>
        <v>0.84860000000000002</v>
      </c>
      <c r="L118" s="3090">
        <f t="shared" si="36"/>
        <v>0.84860000000000002</v>
      </c>
      <c r="M118" s="3110">
        <f t="shared" si="36"/>
        <v>0.84860000000000002</v>
      </c>
      <c r="N118" s="3098"/>
    </row>
    <row r="119" spans="1:14">
      <c r="A119" s="3058" t="s">
        <v>3321</v>
      </c>
      <c r="B119" s="3090">
        <f>ROUND(0.993-0.0112*B116,4)</f>
        <v>0.99299999999999999</v>
      </c>
      <c r="C119" s="3090">
        <f>B119</f>
        <v>0.99299999999999999</v>
      </c>
      <c r="D119" s="3090">
        <f>ROUND(0.9415-0.0142*B116,4)</f>
        <v>0.9415</v>
      </c>
      <c r="E119" s="3090">
        <f t="shared" ref="E119:H120" si="37">D119</f>
        <v>0.9415</v>
      </c>
      <c r="F119" s="3090">
        <f t="shared" si="37"/>
        <v>0.9415</v>
      </c>
      <c r="G119" s="3090">
        <f t="shared" si="37"/>
        <v>0.9415</v>
      </c>
      <c r="H119" s="3090">
        <f t="shared" si="37"/>
        <v>0.9415</v>
      </c>
      <c r="I119" s="3090">
        <f>ROUND(0.838-0.0182*B116,4)</f>
        <v>0.83799999999999997</v>
      </c>
      <c r="J119" s="3090">
        <f t="shared" si="36"/>
        <v>0.83799999999999997</v>
      </c>
      <c r="K119" s="3090">
        <f t="shared" si="36"/>
        <v>0.83799999999999997</v>
      </c>
      <c r="L119" s="3090">
        <f t="shared" si="36"/>
        <v>0.83799999999999997</v>
      </c>
      <c r="M119" s="3110">
        <f t="shared" si="36"/>
        <v>0.83799999999999997</v>
      </c>
      <c r="N119" s="3098"/>
    </row>
    <row r="120" spans="1:14">
      <c r="A120" s="3058" t="s">
        <v>3322</v>
      </c>
      <c r="B120" s="3090">
        <f>ROUND(0.9448-0.0115*B116,4)</f>
        <v>0.94479999999999997</v>
      </c>
      <c r="C120" s="3090">
        <f>B120</f>
        <v>0.94479999999999997</v>
      </c>
      <c r="D120" s="3090">
        <f>ROUND(0.937-0.0145*B116,4)</f>
        <v>0.93700000000000006</v>
      </c>
      <c r="E120" s="3090">
        <f t="shared" si="37"/>
        <v>0.93700000000000006</v>
      </c>
      <c r="F120" s="3090">
        <f t="shared" si="37"/>
        <v>0.93700000000000006</v>
      </c>
      <c r="G120" s="3090">
        <f t="shared" si="37"/>
        <v>0.93700000000000006</v>
      </c>
      <c r="H120" s="3090">
        <f t="shared" si="37"/>
        <v>0.93700000000000006</v>
      </c>
      <c r="I120" s="3090">
        <f>ROUND(0.7965-0.0185*B116,4)</f>
        <v>0.79649999999999999</v>
      </c>
      <c r="J120" s="3090">
        <f t="shared" si="36"/>
        <v>0.79649999999999999</v>
      </c>
      <c r="K120" s="3090">
        <f t="shared" si="36"/>
        <v>0.79649999999999999</v>
      </c>
      <c r="L120" s="3090">
        <f t="shared" si="36"/>
        <v>0.79649999999999999</v>
      </c>
      <c r="M120" s="3110">
        <f t="shared" si="36"/>
        <v>0.79649999999999999</v>
      </c>
      <c r="N120" s="3098"/>
    </row>
    <row r="121" spans="1:14" ht="13.5" thickBot="1">
      <c r="A121" s="3111" t="s">
        <v>3323</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6"/>
        <v>0.59050000000000002</v>
      </c>
      <c r="K121" s="3112">
        <f t="shared" si="36"/>
        <v>0.59050000000000002</v>
      </c>
      <c r="L121" s="3112">
        <f t="shared" si="36"/>
        <v>0.59050000000000002</v>
      </c>
      <c r="M121" s="3113">
        <f t="shared" si="36"/>
        <v>0.59050000000000002</v>
      </c>
      <c r="N121" s="3098"/>
    </row>
    <row r="122" spans="1:14">
      <c r="A122" s="3114" t="s">
        <v>2604</v>
      </c>
      <c r="B122" s="3090">
        <f>ROUND(0.9404-0.0106*B116,4)</f>
        <v>0.94040000000000001</v>
      </c>
      <c r="C122" s="3090">
        <f>B122</f>
        <v>0.94040000000000001</v>
      </c>
      <c r="D122" s="3090">
        <f>ROUND(0.8955-0.0135*B116,4)</f>
        <v>0.89549999999999996</v>
      </c>
      <c r="E122" s="3090">
        <f t="shared" ref="E122:H122" si="38">D122</f>
        <v>0.89549999999999996</v>
      </c>
      <c r="F122" s="3090">
        <f t="shared" si="38"/>
        <v>0.89549999999999996</v>
      </c>
      <c r="G122" s="3090">
        <f t="shared" si="38"/>
        <v>0.89549999999999996</v>
      </c>
      <c r="H122" s="3090">
        <f t="shared" si="38"/>
        <v>0.89549999999999996</v>
      </c>
      <c r="I122" s="3090">
        <f>ROUND(0.7632-0.0166*B116,4)</f>
        <v>0.76319999999999999</v>
      </c>
      <c r="J122" s="3090">
        <f t="shared" si="36"/>
        <v>0.76319999999999999</v>
      </c>
      <c r="K122" s="3090">
        <f t="shared" si="36"/>
        <v>0.76319999999999999</v>
      </c>
      <c r="L122" s="3090">
        <f t="shared" si="36"/>
        <v>0.76319999999999999</v>
      </c>
      <c r="M122" s="3110">
        <f t="shared" si="36"/>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E8" sqref="E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3379</v>
      </c>
      <c r="D1" s="1271" t="s">
        <v>43</v>
      </c>
      <c r="E1" s="1272" t="s">
        <v>678</v>
      </c>
      <c r="F1" s="999">
        <f ca="1">J53</f>
        <v>17.97</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7636</v>
      </c>
      <c r="C2" s="1289" t="s">
        <v>805</v>
      </c>
      <c r="D2" s="1289"/>
      <c r="E2" s="1295"/>
      <c r="F2" s="1296"/>
      <c r="G2" s="2479"/>
      <c r="H2" s="2469"/>
      <c r="I2" s="2469"/>
      <c r="J2" s="2469"/>
      <c r="K2" s="2470"/>
      <c r="L2" s="2469"/>
      <c r="M2" s="2469"/>
    </row>
    <row r="3" spans="1:37" ht="18" customHeight="1" thickBot="1">
      <c r="A3" s="1297" t="s">
        <v>806</v>
      </c>
      <c r="B3" s="1298">
        <f ca="1">IF(ISERROR(B2*10000/F43),0,ROUND(B2*10000/F43,0))</f>
        <v>19551</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731</v>
      </c>
      <c r="D5" s="1273" t="s">
        <v>693</v>
      </c>
      <c r="E5" s="1008"/>
      <c r="F5" s="1009"/>
      <c r="G5" s="1292"/>
      <c r="H5" s="291">
        <v>1</v>
      </c>
      <c r="I5" s="292" t="s">
        <v>692</v>
      </c>
      <c r="J5" s="1007">
        <f ca="1">J6+J10+J12</f>
        <v>0</v>
      </c>
      <c r="K5" s="1273" t="s">
        <v>693</v>
      </c>
      <c r="L5" s="1008"/>
      <c r="M5" s="1009"/>
    </row>
    <row r="6" spans="1:37" ht="18" customHeight="1">
      <c r="A6" s="1006" t="s">
        <v>398</v>
      </c>
      <c r="B6" s="3332" t="s">
        <v>694</v>
      </c>
      <c r="C6" s="1011">
        <f ca="1">ROUND(F6*F8*F7*(1-F9)/10000,0)</f>
        <v>730</v>
      </c>
      <c r="D6" s="147" t="s">
        <v>2108</v>
      </c>
      <c r="E6" s="294" t="s">
        <v>696</v>
      </c>
      <c r="F6" s="295">
        <f ca="1">INDIRECT("'数据-取费表'!u"&amp;$G$1)</f>
        <v>5.69</v>
      </c>
      <c r="G6" s="1292"/>
      <c r="H6" s="1006" t="s">
        <v>398</v>
      </c>
      <c r="I6" s="3332" t="s">
        <v>694</v>
      </c>
      <c r="J6" s="293">
        <f ca="1">ROUND(M6*M8*M7*(1-M9)/10000,0)</f>
        <v>0</v>
      </c>
      <c r="K6" s="147" t="s">
        <v>2107</v>
      </c>
      <c r="L6" s="294" t="s">
        <v>696</v>
      </c>
      <c r="M6" s="295">
        <f ca="1">INDIRECT("'数据-取费表'!z"&amp;$G$1)</f>
        <v>0</v>
      </c>
    </row>
    <row r="7" spans="1:37" ht="18" customHeight="1">
      <c r="A7" s="1010"/>
      <c r="B7" s="3333"/>
      <c r="C7" s="1012"/>
      <c r="D7" s="299"/>
      <c r="E7" s="1013" t="s">
        <v>697</v>
      </c>
      <c r="F7" s="295">
        <f ca="1">IF(INDIRECT("'数据-取费表'!ah"&amp;$G$1)="",INDIRECT("'数据-取费表'!k"&amp;$G$1),INDIRECT("'数据-取费表'!ah"&amp;$G$1))</f>
        <v>3905.76</v>
      </c>
      <c r="G7" s="1292"/>
      <c r="H7" s="296"/>
      <c r="I7" s="3333"/>
      <c r="J7" s="298"/>
      <c r="K7" s="299"/>
      <c r="L7" s="294" t="s">
        <v>697</v>
      </c>
      <c r="M7" s="295">
        <f ca="1">F7</f>
        <v>3905.76</v>
      </c>
    </row>
    <row r="8" spans="1:37" ht="18" customHeight="1">
      <c r="A8" s="296"/>
      <c r="B8" s="3333"/>
      <c r="C8" s="298"/>
      <c r="D8" s="299"/>
      <c r="E8" s="294" t="s">
        <v>698</v>
      </c>
      <c r="F8" s="295">
        <f ca="1">INDIRECT("'数据-取费表'!ai"&amp;$G$1)</f>
        <v>365</v>
      </c>
      <c r="G8" s="1292"/>
      <c r="H8" s="296"/>
      <c r="I8" s="3333"/>
      <c r="J8" s="298"/>
      <c r="K8" s="299"/>
      <c r="L8" s="294" t="s">
        <v>698</v>
      </c>
      <c r="M8" s="295">
        <f ca="1">INDIRECT("'数据-取费表'!ai"&amp;$G$1)</f>
        <v>365</v>
      </c>
    </row>
    <row r="9" spans="1:37" ht="18" customHeight="1">
      <c r="A9" s="296"/>
      <c r="B9" s="3334"/>
      <c r="C9" s="298"/>
      <c r="D9" s="299"/>
      <c r="E9" s="294" t="s">
        <v>699</v>
      </c>
      <c r="F9" s="304">
        <f ca="1">INDIRECT("'数据-取费表'!w"&amp;$G$1)</f>
        <v>0.1</v>
      </c>
      <c r="G9" s="1292"/>
      <c r="H9" s="296"/>
      <c r="I9" s="3334"/>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2116</v>
      </c>
      <c r="E10" s="305" t="s">
        <v>701</v>
      </c>
      <c r="F10" s="1053" t="s">
        <v>3395</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1552</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1367</v>
      </c>
      <c r="D14" s="1257" t="s">
        <v>708</v>
      </c>
      <c r="E14" s="1255"/>
      <c r="F14" s="311"/>
      <c r="G14" s="1292"/>
      <c r="H14" s="928" t="s">
        <v>398</v>
      </c>
      <c r="I14" s="294" t="s">
        <v>709</v>
      </c>
      <c r="J14" s="21">
        <f ca="1">C29</f>
        <v>2126</v>
      </c>
      <c r="K14" s="12"/>
      <c r="L14" s="759"/>
      <c r="M14" s="760"/>
    </row>
    <row r="15" spans="1:37" s="1304" customFormat="1" ht="18" customHeight="1" thickBot="1">
      <c r="A15" s="928" t="s">
        <v>399</v>
      </c>
      <c r="B15" s="294" t="s">
        <v>710</v>
      </c>
      <c r="C15" s="21">
        <f ca="1">ROUND(C14*F15,0)</f>
        <v>68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5</v>
      </c>
      <c r="K16" s="1024" t="s">
        <v>715</v>
      </c>
      <c r="L16" s="1025"/>
      <c r="M16" s="1009"/>
    </row>
    <row r="17" spans="1:37" s="1304" customFormat="1" ht="18" customHeight="1">
      <c r="A17" s="928" t="s">
        <v>681</v>
      </c>
      <c r="B17" s="294" t="s">
        <v>716</v>
      </c>
      <c r="C17" s="21">
        <f ca="1">ROUND(F17*(F43+INDIRECT("'数据-取费表'!S"&amp;$G$1))/10000,0)</f>
        <v>78</v>
      </c>
      <c r="D17" s="294" t="s">
        <v>717</v>
      </c>
      <c r="E17" s="294" t="s">
        <v>718</v>
      </c>
      <c r="F17" s="23">
        <f>'数据-取费表'!B35</f>
        <v>200</v>
      </c>
      <c r="G17" s="1303"/>
      <c r="H17" s="928" t="s">
        <v>398</v>
      </c>
      <c r="I17" s="294" t="s">
        <v>719</v>
      </c>
      <c r="J17" s="2140">
        <f ca="1">ROUND(IF(AND(项目基本情况!B11="自然人",项目基本情况!B10="北京市"),J6*M17/(1+'数据-取费表'!C42),J18+J19+J20),2)</f>
        <v>0.72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27</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1540</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31</v>
      </c>
      <c r="D20" s="315" t="s">
        <v>729</v>
      </c>
      <c r="E20" s="294" t="s">
        <v>712</v>
      </c>
      <c r="F20" s="314">
        <f>'数据-取费表'!B37</f>
        <v>0.02</v>
      </c>
      <c r="G20" s="1303"/>
      <c r="H20" s="928" t="s">
        <v>680</v>
      </c>
      <c r="I20" s="147" t="s">
        <v>730</v>
      </c>
      <c r="J20" s="22">
        <f ca="1">ROUND(M20*M21/10000,2)</f>
        <v>0.72</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2386.36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4.25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v>
      </c>
      <c r="K25" s="1032" t="s">
        <v>753</v>
      </c>
      <c r="L25" s="1033"/>
      <c r="M25" s="1034"/>
    </row>
    <row r="26" spans="1:37">
      <c r="A26" s="928" t="s">
        <v>397</v>
      </c>
      <c r="B26" s="294" t="s">
        <v>754</v>
      </c>
      <c r="C26" s="21">
        <f ca="1">ROUND((C19+C20)*F26,0)</f>
        <v>314</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2126</v>
      </c>
      <c r="D29" s="1029"/>
      <c r="E29" s="1027"/>
      <c r="F29" s="1030"/>
      <c r="G29" s="1303"/>
      <c r="H29" s="325" t="s">
        <v>396</v>
      </c>
      <c r="I29" s="326" t="s">
        <v>768</v>
      </c>
      <c r="J29" s="327">
        <f ca="1">ROUND(J26/(1+F40)^F41,0)</f>
        <v>0</v>
      </c>
      <c r="K29" s="328" t="s">
        <v>769</v>
      </c>
      <c r="L29" s="329"/>
      <c r="M29" s="330">
        <f ca="1">INDIRECT("'数据-取费表'!k"&amp;$G$1)</f>
        <v>3905.76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136</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123.08</v>
      </c>
      <c r="D31" s="1257" t="s">
        <v>720</v>
      </c>
      <c r="E31" s="1256" t="s">
        <v>770</v>
      </c>
      <c r="F31" s="2139" t="str">
        <f>IF(项目基本情况!B11="企业","——",IF(M47="住宅",IF(F6*F7*F8/12/(1+'数据-取费表'!F30)&gt;100000,4%,2.5%),IF(F6*F7*F8/12/(1+'数据-取费表'!F30)&gt;100000,12%,7%)))</f>
        <v>——</v>
      </c>
      <c r="G31" s="1292"/>
      <c r="H31" s="2570" t="s">
        <v>2298</v>
      </c>
      <c r="I31" s="1305"/>
      <c r="J31" s="1306"/>
      <c r="K31" s="121"/>
      <c r="L31" s="2472"/>
      <c r="M31" s="2473"/>
    </row>
    <row r="32" spans="1:37" ht="18" customHeight="1">
      <c r="A32" s="928" t="s">
        <v>397</v>
      </c>
      <c r="B32" s="294" t="s">
        <v>723</v>
      </c>
      <c r="C32" s="21">
        <f ca="1">IF(项目基本情况!B11="自然人","——",ROUND(C6*F32/(1+'数据-取费表'!C42),2))</f>
        <v>38.93</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83.43</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0.72</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2386.36</v>
      </c>
      <c r="G35" s="1292"/>
      <c r="H35" s="2471"/>
      <c r="I35" s="1305"/>
      <c r="J35" s="1306"/>
      <c r="K35" s="2475"/>
      <c r="L35" s="2474"/>
      <c r="M35" s="2474"/>
    </row>
    <row r="36" spans="1:18" ht="18" customHeight="1">
      <c r="A36" s="1039" t="s">
        <v>402</v>
      </c>
      <c r="B36" s="294" t="s">
        <v>738</v>
      </c>
      <c r="C36" s="21">
        <f ca="1">ROUND(C29*F36,2)</f>
        <v>4.25</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1.55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7.31</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595</v>
      </c>
      <c r="D39" s="1032" t="s">
        <v>773</v>
      </c>
      <c r="E39" s="1033"/>
      <c r="F39" s="1034"/>
      <c r="G39" s="1292"/>
      <c r="H39" s="2474"/>
      <c r="I39" s="1305"/>
      <c r="J39" s="1306"/>
      <c r="K39" s="2472"/>
      <c r="L39" s="2474"/>
      <c r="M39" s="2474"/>
    </row>
    <row r="40" spans="1:18" ht="18" customHeight="1">
      <c r="A40" s="291" t="s">
        <v>395</v>
      </c>
      <c r="B40" s="292" t="s">
        <v>774</v>
      </c>
      <c r="C40" s="293">
        <f ca="1">ROUND(C39*(1-((1+F42)/(1+F40))^F41)/(F40-F42),0)</f>
        <v>7423</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17.97</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19005</v>
      </c>
      <c r="D43" s="328" t="s">
        <v>777</v>
      </c>
      <c r="E43" s="329" t="s">
        <v>778</v>
      </c>
      <c r="F43" s="330">
        <f ca="1">INDIRECT("'数据-取费表'!k"&amp;$G$1)</f>
        <v>3905.76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-7499</v>
      </c>
      <c r="D46" s="1313" t="str">
        <f>C2</f>
        <v>万元</v>
      </c>
      <c r="E46" s="1307"/>
      <c r="F46" s="1307"/>
      <c r="I46" s="1314" t="s">
        <v>810</v>
      </c>
      <c r="J46" s="1315"/>
      <c r="K46" s="1316"/>
      <c r="L46" s="1317">
        <f ca="1">IF(M47="住宅",0,IF(L48&gt;J51,L60,J60))</f>
        <v>213</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3396</v>
      </c>
      <c r="K47" s="1323" t="s">
        <v>816</v>
      </c>
      <c r="L47" s="1324">
        <f ca="1">INDIRECT("'数据-取费表'!d"&amp;$G$1)</f>
        <v>40</v>
      </c>
      <c r="M47" s="1288" t="str">
        <f>IF(ISNUMBER(FIND("住宅",C1)),"住宅","非住宅")</f>
        <v>非住宅</v>
      </c>
      <c r="O47" s="1325" t="s">
        <v>403</v>
      </c>
      <c r="P47" s="1326" t="s">
        <v>817</v>
      </c>
      <c r="Q47" s="1327">
        <f ca="1">C40+J29</f>
        <v>7423</v>
      </c>
      <c r="R47" s="1327" t="s">
        <v>818</v>
      </c>
    </row>
    <row r="48" spans="1:18" s="1292" customFormat="1" ht="28.5" thickBot="1">
      <c r="A48" s="1047" t="s">
        <v>438</v>
      </c>
      <c r="B48" s="292" t="s">
        <v>692</v>
      </c>
      <c r="C48" s="1268">
        <f ca="1">C49+C53+C55</f>
        <v>0</v>
      </c>
      <c r="D48" s="1049"/>
      <c r="E48" s="1050"/>
      <c r="F48" s="908"/>
      <c r="G48" s="681"/>
      <c r="H48" s="682"/>
      <c r="I48" s="1328" t="s">
        <v>819</v>
      </c>
      <c r="J48" s="1329" t="s">
        <v>3397</v>
      </c>
      <c r="K48" s="1330" t="s">
        <v>820</v>
      </c>
      <c r="L48" s="1331">
        <f ca="1">INDIRECT("'数据-取费表'!f"&amp;$G$1)</f>
        <v>17.97</v>
      </c>
      <c r="O48" s="1325" t="s">
        <v>404</v>
      </c>
      <c r="P48" s="1326" t="s">
        <v>821</v>
      </c>
      <c r="Q48" s="1327">
        <f ca="1">J60</f>
        <v>213</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v>2004</v>
      </c>
      <c r="K49" s="1330" t="s">
        <v>824</v>
      </c>
      <c r="L49" s="1333"/>
      <c r="O49" s="1334" t="s">
        <v>405</v>
      </c>
      <c r="P49" s="1326" t="s">
        <v>825</v>
      </c>
      <c r="Q49" s="1327">
        <f ca="1">C29</f>
        <v>2126</v>
      </c>
      <c r="R49" s="1327" t="s">
        <v>818</v>
      </c>
    </row>
    <row r="50" spans="1:18" s="1292" customFormat="1" ht="13.5" thickBot="1">
      <c r="A50" s="922"/>
      <c r="B50" s="925"/>
      <c r="C50" s="1055"/>
      <c r="D50" s="899"/>
      <c r="E50" s="993" t="s">
        <v>697</v>
      </c>
      <c r="F50" s="994">
        <f ca="1">F7</f>
        <v>3905.76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7680</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f>'数据-取费表'!J6+0.5%</f>
        <v>0.08</v>
      </c>
      <c r="K52" s="1342" t="s">
        <v>833</v>
      </c>
      <c r="L52" s="1343"/>
      <c r="O52" s="1334" t="s">
        <v>408</v>
      </c>
      <c r="P52" s="1326" t="s">
        <v>834</v>
      </c>
      <c r="Q52" s="1327">
        <f ca="1">J53</f>
        <v>17.97</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17.97</v>
      </c>
      <c r="K53" s="3330" t="s">
        <v>837</v>
      </c>
      <c r="L53" s="3331"/>
      <c r="O53" s="1325" t="s">
        <v>409</v>
      </c>
      <c r="P53" s="1326" t="s">
        <v>838</v>
      </c>
      <c r="Q53" s="1327">
        <f ca="1">Q47+Q48</f>
        <v>7636</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25.5" thickTop="1" thickBot="1">
      <c r="A56" s="903">
        <v>2</v>
      </c>
      <c r="B56" s="904" t="s">
        <v>704</v>
      </c>
      <c r="C56" s="224">
        <f ca="1">C13</f>
        <v>1552</v>
      </c>
      <c r="D56" s="1352"/>
      <c r="E56" s="1353"/>
      <c r="F56" s="1345"/>
      <c r="I56" s="1354" t="s">
        <v>842</v>
      </c>
      <c r="J56" s="1355"/>
      <c r="K56" s="1328" t="s">
        <v>843</v>
      </c>
      <c r="L56" s="1331" t="str">
        <f ca="1">IF(L48&lt;J51,"——",L48-J53)</f>
        <v>——</v>
      </c>
      <c r="O56" s="1325" t="s">
        <v>403</v>
      </c>
      <c r="P56" s="1326" t="s">
        <v>817</v>
      </c>
      <c r="Q56" s="1327">
        <f ca="1">C40+J29</f>
        <v>7423</v>
      </c>
      <c r="R56" s="1327" t="s">
        <v>818</v>
      </c>
    </row>
    <row r="57" spans="1:18" s="1292" customFormat="1" ht="24.75" thickBot="1">
      <c r="A57" s="1356"/>
      <c r="B57" s="896" t="s">
        <v>767</v>
      </c>
      <c r="C57" s="230">
        <f ca="1">C29</f>
        <v>2126</v>
      </c>
      <c r="D57" s="1357"/>
      <c r="E57" s="1358"/>
      <c r="F57" s="1359"/>
      <c r="I57" s="1360" t="s">
        <v>844</v>
      </c>
      <c r="J57" s="1361">
        <f ca="1">IF(OR(M47="住宅",J51&lt;L48,J56="是"),"——",J51-L48)</f>
        <v>22.03</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7</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850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213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0.72</v>
      </c>
      <c r="D62" s="911" t="s">
        <v>786</v>
      </c>
      <c r="E62" s="896" t="s">
        <v>787</v>
      </c>
      <c r="F62" s="317">
        <f t="shared" si="0"/>
        <v>3</v>
      </c>
      <c r="I62" s="1367" t="s">
        <v>858</v>
      </c>
      <c r="J62" s="610" t="s">
        <v>859</v>
      </c>
      <c r="K62" s="610" t="s">
        <v>860</v>
      </c>
      <c r="L62" s="610" t="s">
        <v>861</v>
      </c>
      <c r="M62" s="1368" t="s">
        <v>862</v>
      </c>
      <c r="O62" s="1325" t="s">
        <v>409</v>
      </c>
      <c r="P62" s="1326" t="s">
        <v>863</v>
      </c>
      <c r="Q62" s="1327">
        <f ca="1">Q56+Q57</f>
        <v>7423</v>
      </c>
      <c r="R62" s="1327" t="s">
        <v>410</v>
      </c>
    </row>
    <row r="63" spans="1:18" s="1292" customFormat="1" ht="13.5" thickBot="1">
      <c r="A63" s="318"/>
      <c r="B63" s="902"/>
      <c r="C63" s="26"/>
      <c r="D63" s="912"/>
      <c r="E63" s="896" t="s">
        <v>788</v>
      </c>
      <c r="F63" s="295">
        <f t="shared" ca="1" si="0"/>
        <v>2386.36</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4.25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1.55</v>
      </c>
      <c r="D65" s="910" t="s">
        <v>743</v>
      </c>
      <c r="E65" s="896" t="s">
        <v>744</v>
      </c>
      <c r="F65" s="321">
        <f t="shared" ca="1" si="0"/>
        <v>1E-3</v>
      </c>
      <c r="I65" s="1367" t="s">
        <v>867</v>
      </c>
      <c r="J65" s="610">
        <v>40</v>
      </c>
      <c r="K65" s="610">
        <v>30</v>
      </c>
      <c r="L65" s="610">
        <v>50</v>
      </c>
      <c r="M65" s="1369">
        <v>0.02</v>
      </c>
      <c r="O65" s="1325" t="s">
        <v>403</v>
      </c>
      <c r="P65" s="1326" t="s">
        <v>868</v>
      </c>
      <c r="Q65" s="1327">
        <f ca="1">C40+J29</f>
        <v>7423</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-7</v>
      </c>
      <c r="D67" s="909" t="s">
        <v>753</v>
      </c>
      <c r="E67" s="914"/>
      <c r="F67" s="915"/>
      <c r="O67" s="1334" t="s">
        <v>405</v>
      </c>
      <c r="P67" s="1326" t="s">
        <v>850</v>
      </c>
      <c r="Q67" s="1370">
        <f ca="1">L51</f>
        <v>7680</v>
      </c>
      <c r="R67" s="1327" t="s">
        <v>870</v>
      </c>
    </row>
    <row r="68" spans="1:18" s="1292" customFormat="1" ht="16.5" thickBot="1">
      <c r="A68" s="893" t="s">
        <v>395</v>
      </c>
      <c r="B68" s="894" t="s">
        <v>774</v>
      </c>
      <c r="C68" s="293">
        <f ca="1">ROUND(C67*(1-((1+F70)/(1+F68))^F69)/(F68-F70),0)</f>
        <v>-76</v>
      </c>
      <c r="D68" s="911" t="s">
        <v>758</v>
      </c>
      <c r="E68" s="896" t="s">
        <v>759</v>
      </c>
      <c r="F68" s="304">
        <f ca="1">F40</f>
        <v>0.06</v>
      </c>
      <c r="O68" s="1334" t="s">
        <v>406</v>
      </c>
      <c r="P68" s="1371" t="s">
        <v>871</v>
      </c>
      <c r="Q68" s="1327">
        <f ca="1">ROUND(Q69-Q70*Q71,0)</f>
        <v>479</v>
      </c>
      <c r="R68" s="1327" t="s">
        <v>414</v>
      </c>
    </row>
    <row r="69" spans="1:18" s="1292" customFormat="1" ht="13.5" thickBot="1">
      <c r="A69" s="897"/>
      <c r="B69" s="898"/>
      <c r="C69" s="298"/>
      <c r="D69" s="916" t="s">
        <v>762</v>
      </c>
      <c r="E69" s="896" t="s">
        <v>763</v>
      </c>
      <c r="F69" s="324">
        <f ca="1">F41</f>
        <v>17.97</v>
      </c>
      <c r="O69" s="1334" t="s">
        <v>411</v>
      </c>
      <c r="P69" s="1371" t="s">
        <v>872</v>
      </c>
      <c r="Q69" s="1327">
        <f ca="1">C39</f>
        <v>595</v>
      </c>
      <c r="R69" s="1327" t="s">
        <v>818</v>
      </c>
    </row>
    <row r="70" spans="1:18" s="1292" customFormat="1" ht="13.5" thickBot="1">
      <c r="A70" s="900"/>
      <c r="B70" s="901"/>
      <c r="C70" s="302"/>
      <c r="D70" s="912"/>
      <c r="E70" s="896" t="s">
        <v>766</v>
      </c>
      <c r="F70" s="991"/>
      <c r="O70" s="1334" t="s">
        <v>412</v>
      </c>
      <c r="P70" s="1371" t="s">
        <v>873</v>
      </c>
      <c r="Q70" s="1327">
        <f ca="1">C13</f>
        <v>1552</v>
      </c>
      <c r="R70" s="1327" t="s">
        <v>818</v>
      </c>
    </row>
    <row r="71" spans="1:18" s="1292" customFormat="1" ht="13.5" thickBot="1">
      <c r="A71" s="917" t="s">
        <v>396</v>
      </c>
      <c r="B71" s="918" t="s">
        <v>776</v>
      </c>
      <c r="C71" s="327">
        <f ca="1">ROUND(C68*10000/F71,0)</f>
        <v>-195</v>
      </c>
      <c r="D71" s="919" t="s">
        <v>777</v>
      </c>
      <c r="E71" s="920" t="s">
        <v>778</v>
      </c>
      <c r="F71" s="330">
        <f ca="1">F43</f>
        <v>3905.76</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116</v>
      </c>
      <c r="D75" s="1292"/>
      <c r="E75" s="1292"/>
      <c r="F75" s="1292"/>
      <c r="K75" s="1309"/>
      <c r="L75" s="1292"/>
      <c r="O75" s="1325" t="s">
        <v>409</v>
      </c>
      <c r="P75" s="1326" t="s">
        <v>838</v>
      </c>
      <c r="Q75" s="1327">
        <f ca="1">Q65+Q66</f>
        <v>7423</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0.80499999999999994</v>
      </c>
    </row>
    <row r="80" spans="1:18">
      <c r="B80" s="331" t="s">
        <v>800</v>
      </c>
      <c r="C80" s="266">
        <f ca="1">ROUND(C75/C39,3)</f>
        <v>0.19500000000000001</v>
      </c>
    </row>
    <row r="81" spans="2:3">
      <c r="B81" s="262" t="s">
        <v>801</v>
      </c>
      <c r="C81" s="230"/>
    </row>
    <row r="82" spans="2:3">
      <c r="B82" s="265" t="s">
        <v>802</v>
      </c>
      <c r="C82" s="267">
        <f ca="1">1-C83</f>
        <v>0.79100000000000004</v>
      </c>
    </row>
    <row r="83" spans="2:3">
      <c r="B83" s="265" t="s">
        <v>803</v>
      </c>
      <c r="C83" s="266">
        <f ca="1">ROUND(C13/C40,3)</f>
        <v>0.20899999999999999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E1" sqref="E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32" t="s">
        <v>694</v>
      </c>
      <c r="C6" s="1011">
        <f ca="1">ROUND(F6*F8*F7*(1-F9),0)</f>
        <v>0</v>
      </c>
      <c r="D6" s="147" t="s">
        <v>2105</v>
      </c>
      <c r="E6" s="294" t="s">
        <v>696</v>
      </c>
      <c r="F6" s="295">
        <f ca="1">INDIRECT("'数据-取费表'!u"&amp;$G$1)</f>
        <v>0</v>
      </c>
      <c r="G6" s="1292"/>
      <c r="H6" s="1006" t="s">
        <v>398</v>
      </c>
      <c r="I6" s="3332" t="s">
        <v>694</v>
      </c>
      <c r="J6" s="293">
        <f ca="1">ROUND(M6*M8*M7*(1-M9),0)</f>
        <v>0</v>
      </c>
      <c r="K6" s="1284" t="s">
        <v>2106</v>
      </c>
      <c r="L6" s="294" t="s">
        <v>696</v>
      </c>
      <c r="M6" s="295">
        <f ca="1">INDIRECT("'数据-取费表'!z"&amp;$G$1)</f>
        <v>0</v>
      </c>
    </row>
    <row r="7" spans="1:37" ht="18" customHeight="1">
      <c r="A7" s="1010"/>
      <c r="B7" s="3333"/>
      <c r="C7" s="1012"/>
      <c r="D7" s="299"/>
      <c r="E7" s="1013" t="s">
        <v>697</v>
      </c>
      <c r="F7" s="295">
        <f ca="1">IF(INDIRECT("'数据-取费表'!ah"&amp;$G$1)="",INDIRECT("'数据-取费表'!k"&amp;$G$1),INDIRECT("'数据-取费表'!ah"&amp;$G$1))</f>
        <v>0</v>
      </c>
      <c r="G7" s="1292"/>
      <c r="H7" s="296"/>
      <c r="I7" s="3333"/>
      <c r="J7" s="298"/>
      <c r="K7" s="299"/>
      <c r="L7" s="294" t="s">
        <v>697</v>
      </c>
      <c r="M7" s="295">
        <f ca="1">F7</f>
        <v>0</v>
      </c>
    </row>
    <row r="8" spans="1:37" ht="18" customHeight="1">
      <c r="A8" s="296"/>
      <c r="B8" s="3333"/>
      <c r="C8" s="298"/>
      <c r="D8" s="299"/>
      <c r="E8" s="294" t="s">
        <v>698</v>
      </c>
      <c r="F8" s="295">
        <f ca="1">INDIRECT("'数据-取费表'!ai"&amp;$G$1)</f>
        <v>0</v>
      </c>
      <c r="G8" s="1292"/>
      <c r="H8" s="296"/>
      <c r="I8" s="3333"/>
      <c r="J8" s="298"/>
      <c r="K8" s="299"/>
      <c r="L8" s="294" t="s">
        <v>698</v>
      </c>
      <c r="M8" s="295">
        <f ca="1">INDIRECT("'数据-取费表'!ai"&amp;$G$1)</f>
        <v>0</v>
      </c>
    </row>
    <row r="9" spans="1:37" ht="18" customHeight="1">
      <c r="A9" s="296"/>
      <c r="B9" s="3334"/>
      <c r="C9" s="298"/>
      <c r="D9" s="299"/>
      <c r="E9" s="294" t="s">
        <v>699</v>
      </c>
      <c r="F9" s="304">
        <f ca="1">INDIRECT("'数据-取费表'!w"&amp;$G$1)</f>
        <v>0</v>
      </c>
      <c r="G9" s="1292"/>
      <c r="H9" s="296"/>
      <c r="I9" s="333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2298</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3</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30" t="s">
        <v>837</v>
      </c>
      <c r="L53" s="333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2427</v>
      </c>
      <c r="B1" s="2584"/>
      <c r="C1" s="2596"/>
      <c r="D1" s="2596"/>
      <c r="E1" s="2585"/>
      <c r="F1" s="2586"/>
      <c r="G1" s="2587"/>
      <c r="J1" s="2590" t="s">
        <v>2306</v>
      </c>
      <c r="K1" s="2591"/>
      <c r="L1" s="2591"/>
      <c r="M1" s="2591"/>
      <c r="N1" s="2591"/>
      <c r="O1" s="2591"/>
      <c r="P1" s="2591"/>
      <c r="Q1" s="2591"/>
      <c r="R1" s="2592"/>
      <c r="S1" s="2593"/>
      <c r="T1" s="2593"/>
      <c r="U1" s="2593"/>
    </row>
    <row r="2" spans="1:22" s="2605" customFormat="1" ht="13.15" customHeight="1">
      <c r="A2" s="1293" t="s">
        <v>2307</v>
      </c>
      <c r="B2" s="2595" t="e">
        <f>IF(D2="——",C40,C40+E2)</f>
        <v>#DIV/0!</v>
      </c>
      <c r="C2" s="2596" t="s">
        <v>2308</v>
      </c>
      <c r="D2" s="3139" t="s">
        <v>3350</v>
      </c>
      <c r="E2" s="3140"/>
      <c r="F2" s="2598"/>
      <c r="G2" s="2599"/>
      <c r="H2" s="2600"/>
      <c r="I2" s="2601"/>
      <c r="J2" s="3341" t="s">
        <v>2309</v>
      </c>
      <c r="K2" s="3342"/>
      <c r="L2" s="2602" t="s">
        <v>2310</v>
      </c>
      <c r="M2" s="2602" t="s">
        <v>2311</v>
      </c>
      <c r="N2" s="2602" t="s">
        <v>2312</v>
      </c>
      <c r="O2" s="2602" t="s">
        <v>2313</v>
      </c>
      <c r="P2" s="2602" t="s">
        <v>2314</v>
      </c>
      <c r="Q2" s="2603" t="s">
        <v>2315</v>
      </c>
      <c r="R2" s="2604" t="s">
        <v>2316</v>
      </c>
      <c r="S2" s="2593"/>
      <c r="T2" s="2593"/>
      <c r="U2" s="2593"/>
      <c r="V2" s="2601"/>
    </row>
    <row r="3" spans="1:22" s="2605" customFormat="1" ht="13.15" customHeight="1">
      <c r="A3" s="2606" t="s">
        <v>2317</v>
      </c>
      <c r="B3" s="2607" t="e">
        <f>ROUND(B2*10000/B4,0)</f>
        <v>#DIV/0!</v>
      </c>
      <c r="C3" s="2596" t="s">
        <v>2318</v>
      </c>
      <c r="D3" s="2596"/>
      <c r="E3" s="2597"/>
      <c r="F3" s="2598"/>
      <c r="G3" s="2599"/>
      <c r="H3" s="2600"/>
      <c r="I3" s="2601"/>
      <c r="J3" s="3343" t="s">
        <v>2319</v>
      </c>
      <c r="K3" s="3344"/>
      <c r="L3" s="2608"/>
      <c r="M3" s="2608"/>
      <c r="N3" s="2608"/>
      <c r="O3" s="2608"/>
      <c r="P3" s="2608"/>
      <c r="Q3" s="2609"/>
      <c r="R3" s="2610">
        <f>SUM(L3:Q3)</f>
        <v>0</v>
      </c>
      <c r="S3" s="2593"/>
      <c r="T3" s="2593"/>
      <c r="U3" s="2593"/>
      <c r="V3" s="2601"/>
    </row>
    <row r="4" spans="1:22" s="2605" customFormat="1" ht="13.15" customHeight="1">
      <c r="A4" s="2611" t="s">
        <v>2320</v>
      </c>
      <c r="B4" s="2612"/>
      <c r="C4" s="2596"/>
      <c r="D4" s="2596"/>
      <c r="E4" s="2597"/>
      <c r="F4" s="2598"/>
      <c r="G4" s="2599"/>
      <c r="H4" s="2600"/>
      <c r="I4" s="2601"/>
      <c r="J4" s="3343" t="s">
        <v>2321</v>
      </c>
      <c r="K4" s="3344"/>
      <c r="L4" s="2613"/>
      <c r="M4" s="2613"/>
      <c r="N4" s="2613"/>
      <c r="O4" s="2613"/>
      <c r="P4" s="2613"/>
      <c r="Q4" s="2614"/>
      <c r="R4" s="2615">
        <f>SUM(L4:Q4)</f>
        <v>0</v>
      </c>
      <c r="S4" s="2593"/>
      <c r="T4" s="2593"/>
      <c r="U4" s="2593"/>
      <c r="V4" s="2601"/>
    </row>
    <row r="5" spans="1:22" s="2605" customFormat="1" ht="13.15" customHeight="1" thickBot="1">
      <c r="A5" s="2616" t="s">
        <v>2322</v>
      </c>
      <c r="B5" s="2617"/>
      <c r="C5" s="2596"/>
      <c r="D5" s="2618"/>
      <c r="E5" s="2598"/>
      <c r="F5" s="2598"/>
      <c r="G5" s="2599"/>
      <c r="H5" s="2600"/>
      <c r="I5" s="2601"/>
      <c r="J5" s="2619" t="s">
        <v>2323</v>
      </c>
      <c r="K5" s="2620"/>
      <c r="L5" s="2620"/>
      <c r="M5" s="2621"/>
      <c r="N5" s="2621"/>
      <c r="O5" s="2621"/>
      <c r="P5" s="2621"/>
      <c r="Q5" s="2621"/>
      <c r="R5" s="2604">
        <f>SUM(R14,R19,R24,R25,R27,R28)</f>
        <v>0</v>
      </c>
      <c r="S5" s="2593"/>
      <c r="T5" s="2593" t="s">
        <v>2324</v>
      </c>
      <c r="U5" s="2593" t="e">
        <f>ROUND(R5*10000/365/R3,1)</f>
        <v>#DIV/0!</v>
      </c>
      <c r="V5" s="2601"/>
    </row>
    <row r="6" spans="1:22" s="2605" customFormat="1" ht="13.15" customHeight="1" thickBot="1">
      <c r="A6" s="3349" t="s">
        <v>2325</v>
      </c>
      <c r="B6" s="3350"/>
      <c r="C6" s="3351"/>
      <c r="D6" s="2622"/>
      <c r="E6" s="2623"/>
      <c r="F6" s="2624"/>
      <c r="G6" s="2625"/>
      <c r="H6" s="2600"/>
      <c r="I6" s="2601"/>
      <c r="J6" s="3335">
        <v>1</v>
      </c>
      <c r="K6" s="3336" t="s">
        <v>2326</v>
      </c>
      <c r="L6" s="2626" t="s">
        <v>2327</v>
      </c>
      <c r="M6" s="2627" t="s">
        <v>2328</v>
      </c>
      <c r="N6" s="2627" t="s">
        <v>2329</v>
      </c>
      <c r="O6" s="2627" t="s">
        <v>2330</v>
      </c>
      <c r="P6" s="2627" t="s">
        <v>2331</v>
      </c>
      <c r="Q6" s="2627" t="s">
        <v>2332</v>
      </c>
      <c r="R6" s="2610" t="s">
        <v>2333</v>
      </c>
      <c r="S6" s="2593"/>
      <c r="T6" s="2593" t="s">
        <v>2334</v>
      </c>
      <c r="U6" s="2593"/>
      <c r="V6" s="2601"/>
    </row>
    <row r="7" spans="1:22" s="2605" customFormat="1" ht="13.15" customHeight="1">
      <c r="A7" s="2628" t="s">
        <v>2335</v>
      </c>
      <c r="B7" s="2629"/>
      <c r="C7" s="2630"/>
      <c r="D7" s="2631">
        <f>SUM(D9,D10,D11,D17,0)</f>
        <v>0</v>
      </c>
      <c r="E7" s="2632" t="e">
        <f>E9+E10+E11+E17</f>
        <v>#DIV/0!</v>
      </c>
      <c r="F7" s="2633"/>
      <c r="G7" s="2634"/>
      <c r="H7" s="2600"/>
      <c r="I7" s="2601"/>
      <c r="J7" s="3335"/>
      <c r="K7" s="3337"/>
      <c r="L7" s="2635" t="s">
        <v>2336</v>
      </c>
      <c r="M7" s="2636"/>
      <c r="N7" s="2612"/>
      <c r="O7" s="2637"/>
      <c r="P7" s="2637"/>
      <c r="Q7" s="2638">
        <v>365</v>
      </c>
      <c r="R7" s="2639">
        <f>ROUND(M7*N7*O7*P7*Q7/10000,0)</f>
        <v>0</v>
      </c>
      <c r="S7" s="2593"/>
      <c r="T7" s="2593" t="s">
        <v>2337</v>
      </c>
      <c r="U7" s="2593"/>
      <c r="V7" s="2601"/>
    </row>
    <row r="8" spans="1:22" s="2605" customFormat="1" ht="13.15" customHeight="1">
      <c r="A8" s="2640" t="s">
        <v>2338</v>
      </c>
      <c r="B8" s="3352" t="s">
        <v>2339</v>
      </c>
      <c r="C8" s="3353"/>
      <c r="D8" s="2641" t="s">
        <v>2340</v>
      </c>
      <c r="E8" s="2642" t="s">
        <v>2341</v>
      </c>
      <c r="F8" s="2643" t="s">
        <v>2342</v>
      </c>
      <c r="G8" s="2644"/>
      <c r="H8" s="2600"/>
      <c r="I8" s="2601"/>
      <c r="J8" s="3335"/>
      <c r="K8" s="3337"/>
      <c r="L8" s="2635" t="s">
        <v>2343</v>
      </c>
      <c r="M8" s="2636"/>
      <c r="N8" s="2612"/>
      <c r="O8" s="2637"/>
      <c r="P8" s="2637"/>
      <c r="Q8" s="2638">
        <v>365</v>
      </c>
      <c r="R8" s="2639">
        <f t="shared" ref="R8:R13" si="0">ROUND(M8*N8*O8*P8*Q8/10000,0)</f>
        <v>0</v>
      </c>
      <c r="S8" s="2593"/>
      <c r="T8" s="2593" t="s">
        <v>2344</v>
      </c>
      <c r="U8" s="2593"/>
      <c r="V8" s="2601"/>
    </row>
    <row r="9" spans="1:22" s="2605" customFormat="1" ht="13.15" customHeight="1">
      <c r="A9" s="2640">
        <v>1</v>
      </c>
      <c r="B9" s="3352" t="s">
        <v>2345</v>
      </c>
      <c r="C9" s="3353"/>
      <c r="D9" s="2641">
        <f>ROUND(D6*E9,0)</f>
        <v>0</v>
      </c>
      <c r="E9" s="2645"/>
      <c r="F9" s="2646" t="s">
        <v>2346</v>
      </c>
      <c r="G9" s="2625"/>
      <c r="H9" s="2600"/>
      <c r="I9" s="2601"/>
      <c r="J9" s="3335"/>
      <c r="K9" s="3337"/>
      <c r="L9" s="2635" t="s">
        <v>2347</v>
      </c>
      <c r="M9" s="2636"/>
      <c r="N9" s="2612"/>
      <c r="O9" s="2637"/>
      <c r="P9" s="2637"/>
      <c r="Q9" s="2638">
        <v>365</v>
      </c>
      <c r="R9" s="2639">
        <f t="shared" si="0"/>
        <v>0</v>
      </c>
      <c r="S9" s="2593"/>
      <c r="T9" s="2593"/>
      <c r="U9" s="2593"/>
      <c r="V9" s="2601"/>
    </row>
    <row r="10" spans="1:22" s="2605" customFormat="1" ht="13.15" customHeight="1">
      <c r="A10" s="2640">
        <v>2</v>
      </c>
      <c r="B10" s="3352" t="s">
        <v>2348</v>
      </c>
      <c r="C10" s="3353"/>
      <c r="D10" s="2641">
        <f>ROUND(D6*E10,0)</f>
        <v>0</v>
      </c>
      <c r="E10" s="2645"/>
      <c r="F10" s="2646" t="s">
        <v>2349</v>
      </c>
      <c r="G10" s="2625"/>
      <c r="H10" s="2600"/>
      <c r="I10" s="2601"/>
      <c r="J10" s="3335"/>
      <c r="K10" s="3337"/>
      <c r="L10" s="2635" t="s">
        <v>2350</v>
      </c>
      <c r="M10" s="2636"/>
      <c r="N10" s="2612"/>
      <c r="O10" s="2637"/>
      <c r="P10" s="2637"/>
      <c r="Q10" s="2638">
        <v>365</v>
      </c>
      <c r="R10" s="2639">
        <f t="shared" si="0"/>
        <v>0</v>
      </c>
      <c r="S10" s="2593"/>
      <c r="T10" s="2593"/>
      <c r="U10" s="2593"/>
      <c r="V10" s="2601"/>
    </row>
    <row r="11" spans="1:22" s="2605" customFormat="1" ht="13.15" customHeight="1">
      <c r="A11" s="2640">
        <v>3</v>
      </c>
      <c r="B11" s="3352" t="s">
        <v>2351</v>
      </c>
      <c r="C11" s="3353"/>
      <c r="D11" s="2641">
        <f>D12+D14+D15+D16</f>
        <v>0</v>
      </c>
      <c r="E11" s="2647" t="e">
        <f>D11/D6</f>
        <v>#DIV/0!</v>
      </c>
      <c r="F11" s="2643"/>
      <c r="G11" s="2644"/>
      <c r="H11" s="2600"/>
      <c r="I11" s="2601"/>
      <c r="J11" s="3335"/>
      <c r="K11" s="3337"/>
      <c r="L11" s="2635" t="s">
        <v>2352</v>
      </c>
      <c r="M11" s="2636"/>
      <c r="N11" s="2612"/>
      <c r="O11" s="2637"/>
      <c r="P11" s="2637"/>
      <c r="Q11" s="2638">
        <v>365</v>
      </c>
      <c r="R11" s="2639">
        <f t="shared" si="0"/>
        <v>0</v>
      </c>
      <c r="S11" s="2593"/>
      <c r="T11" s="2593"/>
      <c r="U11" s="2593"/>
      <c r="V11" s="2601"/>
    </row>
    <row r="12" spans="1:22" s="2605" customFormat="1" ht="13.15" customHeight="1">
      <c r="A12" s="2648" t="s">
        <v>2353</v>
      </c>
      <c r="B12" s="3345" t="s">
        <v>2354</v>
      </c>
      <c r="C12" s="3346"/>
      <c r="D12" s="2649">
        <f>ROUND(D13*1.2%*(1-30%),0)</f>
        <v>0</v>
      </c>
      <c r="E12" s="2650">
        <v>1.2E-2</v>
      </c>
      <c r="F12" s="2643" t="s">
        <v>2355</v>
      </c>
      <c r="G12" s="2644"/>
      <c r="H12" s="2600"/>
      <c r="I12" s="2601"/>
      <c r="J12" s="3335"/>
      <c r="K12" s="3337"/>
      <c r="L12" s="2635" t="s">
        <v>2356</v>
      </c>
      <c r="M12" s="2636"/>
      <c r="N12" s="2612"/>
      <c r="O12" s="2637"/>
      <c r="P12" s="2637"/>
      <c r="Q12" s="2638">
        <v>365</v>
      </c>
      <c r="R12" s="2639">
        <f t="shared" si="0"/>
        <v>0</v>
      </c>
      <c r="S12" s="2593"/>
      <c r="T12" s="2593"/>
      <c r="U12" s="2593"/>
      <c r="V12" s="2601"/>
    </row>
    <row r="13" spans="1:22" s="2605" customFormat="1" ht="13.15" customHeight="1">
      <c r="A13" s="2648"/>
      <c r="B13" s="2651"/>
      <c r="C13" s="2652" t="s">
        <v>2357</v>
      </c>
      <c r="D13" s="2653"/>
      <c r="E13" s="2654"/>
      <c r="F13" s="2643"/>
      <c r="G13" s="2644"/>
      <c r="H13" s="2600"/>
      <c r="I13" s="2601"/>
      <c r="J13" s="3335"/>
      <c r="K13" s="3337"/>
      <c r="L13" s="2635" t="s">
        <v>2358</v>
      </c>
      <c r="M13" s="2636"/>
      <c r="N13" s="2612"/>
      <c r="O13" s="2637"/>
      <c r="P13" s="2637"/>
      <c r="Q13" s="2638">
        <v>365</v>
      </c>
      <c r="R13" s="2639">
        <f t="shared" si="0"/>
        <v>0</v>
      </c>
      <c r="S13" s="2593"/>
      <c r="T13" s="2593"/>
      <c r="U13" s="2593"/>
      <c r="V13" s="2601"/>
    </row>
    <row r="14" spans="1:22" s="2605" customFormat="1" ht="13.15" customHeight="1">
      <c r="A14" s="2648" t="s">
        <v>2359</v>
      </c>
      <c r="B14" s="3345" t="s">
        <v>2360</v>
      </c>
      <c r="C14" s="3346"/>
      <c r="D14" s="2649">
        <f>ROUND(E14*B5/10000,0)</f>
        <v>0</v>
      </c>
      <c r="E14" s="2638"/>
      <c r="F14" s="2643" t="s">
        <v>2361</v>
      </c>
      <c r="G14" s="2644"/>
      <c r="H14" s="2600"/>
      <c r="I14" s="2601"/>
      <c r="J14" s="3335"/>
      <c r="K14" s="3338"/>
      <c r="L14" s="2655" t="s">
        <v>2362</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2363</v>
      </c>
      <c r="B15" s="3345" t="s">
        <v>2364</v>
      </c>
      <c r="C15" s="3346"/>
      <c r="D15" s="2649">
        <f>ROUND(D6*E15,0)</f>
        <v>0</v>
      </c>
      <c r="E15" s="2650">
        <v>5.5E-2</v>
      </c>
      <c r="F15" s="2643" t="s">
        <v>2365</v>
      </c>
      <c r="G15" s="2625"/>
      <c r="H15" s="2600"/>
      <c r="I15" s="2601"/>
      <c r="J15" s="3335">
        <v>2</v>
      </c>
      <c r="K15" s="3336" t="s">
        <v>2366</v>
      </c>
      <c r="L15" s="2635" t="s">
        <v>2367</v>
      </c>
      <c r="M15" s="2636" t="s">
        <v>2368</v>
      </c>
      <c r="N15" s="2636" t="s">
        <v>2369</v>
      </c>
      <c r="O15" s="2637" t="s">
        <v>2370</v>
      </c>
      <c r="P15" s="2637" t="s">
        <v>2332</v>
      </c>
      <c r="Q15" s="2612" t="s">
        <v>2371</v>
      </c>
      <c r="R15" s="2659" t="s">
        <v>2333</v>
      </c>
      <c r="S15" s="2593"/>
      <c r="T15" s="2593"/>
      <c r="U15" s="2593"/>
      <c r="V15" s="2601"/>
    </row>
    <row r="16" spans="1:22" s="2605" customFormat="1" ht="13.15" customHeight="1">
      <c r="A16" s="2648" t="s">
        <v>2372</v>
      </c>
      <c r="B16" s="3345" t="s">
        <v>2373</v>
      </c>
      <c r="C16" s="3346"/>
      <c r="D16" s="2660">
        <f>D6*E16</f>
        <v>0</v>
      </c>
      <c r="E16" s="2661"/>
      <c r="F16" s="2646" t="s">
        <v>2374</v>
      </c>
      <c r="G16" s="2625"/>
      <c r="H16" s="2600"/>
      <c r="I16" s="2601"/>
      <c r="J16" s="3335"/>
      <c r="K16" s="3337"/>
      <c r="L16" s="2635" t="s">
        <v>2375</v>
      </c>
      <c r="M16" s="2636"/>
      <c r="N16" s="2636"/>
      <c r="O16" s="2637"/>
      <c r="P16" s="2638">
        <v>365</v>
      </c>
      <c r="Q16" s="2612"/>
      <c r="R16" s="2659">
        <f>ROUND(M16*N16*O16*P16/10000,0)</f>
        <v>0</v>
      </c>
      <c r="S16" s="2593"/>
      <c r="T16" s="2593"/>
      <c r="U16" s="2593"/>
      <c r="V16" s="2601"/>
    </row>
    <row r="17" spans="1:22" s="2605" customFormat="1" ht="13.15" customHeight="1" thickBot="1">
      <c r="A17" s="2662">
        <v>4</v>
      </c>
      <c r="B17" s="3347" t="s">
        <v>2376</v>
      </c>
      <c r="C17" s="3348"/>
      <c r="D17" s="2663">
        <f>ROUND(D6*E17,0)</f>
        <v>0</v>
      </c>
      <c r="E17" s="2664"/>
      <c r="F17" s="2665" t="s">
        <v>2377</v>
      </c>
      <c r="G17" s="2625"/>
      <c r="H17" s="2600"/>
      <c r="I17" s="2601"/>
      <c r="J17" s="3335"/>
      <c r="K17" s="3337"/>
      <c r="L17" s="2635" t="s">
        <v>2378</v>
      </c>
      <c r="M17" s="2636"/>
      <c r="N17" s="2636"/>
      <c r="O17" s="2637"/>
      <c r="P17" s="2638">
        <v>365</v>
      </c>
      <c r="Q17" s="2612"/>
      <c r="R17" s="2659">
        <f>ROUND(M17*N17*O17*P17/10000,0)</f>
        <v>0</v>
      </c>
      <c r="S17" s="2593"/>
      <c r="T17" s="2593"/>
      <c r="U17" s="2593"/>
      <c r="V17" s="2601"/>
    </row>
    <row r="18" spans="1:22" s="2605" customFormat="1" ht="13.15" customHeight="1" thickBot="1">
      <c r="A18" s="2628" t="s">
        <v>2379</v>
      </c>
      <c r="B18" s="2629"/>
      <c r="C18" s="2629"/>
      <c r="D18" s="2666">
        <f>ROUND(D6*E18,0)</f>
        <v>0</v>
      </c>
      <c r="E18" s="2667"/>
      <c r="F18" s="2668" t="s">
        <v>2380</v>
      </c>
      <c r="G18" s="2625"/>
      <c r="H18" s="2600"/>
      <c r="I18" s="2601"/>
      <c r="J18" s="3335"/>
      <c r="K18" s="3337"/>
      <c r="L18" s="2635" t="s">
        <v>2381</v>
      </c>
      <c r="M18" s="2636"/>
      <c r="N18" s="2636"/>
      <c r="O18" s="2637"/>
      <c r="P18" s="2638">
        <v>365</v>
      </c>
      <c r="Q18" s="2612"/>
      <c r="R18" s="2659">
        <f>ROUND(M18*N18*O18*P18/10000,0)</f>
        <v>0</v>
      </c>
      <c r="S18" s="2593"/>
      <c r="T18" s="2593"/>
      <c r="U18" s="2593"/>
      <c r="V18" s="2601"/>
    </row>
    <row r="19" spans="1:22" s="2605" customFormat="1" ht="13.15" customHeight="1" thickBot="1">
      <c r="A19" s="2669" t="s">
        <v>2382</v>
      </c>
      <c r="B19" s="2623"/>
      <c r="C19" s="2623"/>
      <c r="D19" s="2623"/>
      <c r="E19" s="2623"/>
      <c r="F19" s="2624"/>
      <c r="G19" s="2644"/>
      <c r="H19" s="2600"/>
      <c r="I19" s="2601"/>
      <c r="J19" s="3335"/>
      <c r="K19" s="3338"/>
      <c r="L19" s="2655" t="s">
        <v>2362</v>
      </c>
      <c r="M19" s="2656"/>
      <c r="N19" s="2656">
        <f>SUM(N16:N18)</f>
        <v>0</v>
      </c>
      <c r="O19" s="2657"/>
      <c r="P19" s="2670" t="s">
        <v>2426</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35">
        <v>3</v>
      </c>
      <c r="K20" s="3336" t="s">
        <v>2383</v>
      </c>
      <c r="L20" s="2635" t="s">
        <v>2384</v>
      </c>
      <c r="M20" s="2636" t="s">
        <v>2385</v>
      </c>
      <c r="N20" s="2673" t="s">
        <v>2386</v>
      </c>
      <c r="O20" s="2637" t="s">
        <v>2387</v>
      </c>
      <c r="P20" s="2638" t="s">
        <v>2388</v>
      </c>
      <c r="Q20" s="2612" t="s">
        <v>2389</v>
      </c>
      <c r="R20" s="2659" t="s">
        <v>2390</v>
      </c>
      <c r="S20" s="2593"/>
      <c r="T20" s="2593"/>
      <c r="U20" s="2593"/>
      <c r="V20" s="2601"/>
    </row>
    <row r="21" spans="1:22" s="2605" customFormat="1" ht="13.15" customHeight="1">
      <c r="A21" s="2628"/>
      <c r="B21" s="2629"/>
      <c r="C21" s="2674" t="s">
        <v>2391</v>
      </c>
      <c r="D21" s="2675" t="s">
        <v>2392</v>
      </c>
      <c r="E21" s="2676" t="s">
        <v>2393</v>
      </c>
      <c r="F21" s="2672"/>
      <c r="G21" s="2644"/>
      <c r="H21" s="2600"/>
      <c r="I21" s="2601"/>
      <c r="J21" s="3335"/>
      <c r="K21" s="3337"/>
      <c r="L21" s="2635" t="s">
        <v>2394</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2395</v>
      </c>
      <c r="D22" s="2679" t="s">
        <v>2396</v>
      </c>
      <c r="E22" s="2680" t="s">
        <v>2397</v>
      </c>
      <c r="F22" s="2672"/>
      <c r="G22" s="2593"/>
      <c r="H22" s="2600"/>
      <c r="I22" s="2601"/>
      <c r="J22" s="3335"/>
      <c r="K22" s="3337"/>
      <c r="L22" s="2635" t="s">
        <v>2398</v>
      </c>
      <c r="M22" s="2636"/>
      <c r="N22" s="2636"/>
      <c r="O22" s="2637"/>
      <c r="P22" s="2638">
        <v>365</v>
      </c>
      <c r="Q22" s="2612"/>
      <c r="R22" s="2677">
        <f>ROUND(M22*N22*O22*P22/10000,0)</f>
        <v>0</v>
      </c>
      <c r="S22" s="2593"/>
      <c r="T22" s="2593"/>
      <c r="U22" s="2593"/>
      <c r="V22" s="2601"/>
    </row>
    <row r="23" spans="1:22" s="2605" customFormat="1" ht="13.15" customHeight="1">
      <c r="A23" s="2681">
        <v>1</v>
      </c>
      <c r="B23" s="2682" t="s">
        <v>2399</v>
      </c>
      <c r="C23" s="2683">
        <f>D6</f>
        <v>0</v>
      </c>
      <c r="D23" s="2684">
        <f>C23*(1+D24)</f>
        <v>0</v>
      </c>
      <c r="E23" s="2685">
        <f>D23*(1+E24)</f>
        <v>0</v>
      </c>
      <c r="F23" s="2686"/>
      <c r="G23" s="2687"/>
      <c r="H23" s="2600"/>
      <c r="I23" s="2601"/>
      <c r="J23" s="3335"/>
      <c r="K23" s="3337"/>
      <c r="L23" s="2635" t="s">
        <v>2400</v>
      </c>
      <c r="M23" s="2636"/>
      <c r="N23" s="2636"/>
      <c r="O23" s="2637"/>
      <c r="P23" s="2638">
        <v>365</v>
      </c>
      <c r="Q23" s="2612"/>
      <c r="R23" s="2677">
        <f>ROUND(M23*N23*O23*P23/10000,0)</f>
        <v>0</v>
      </c>
      <c r="S23" s="2593"/>
      <c r="T23" s="2593"/>
      <c r="U23" s="2593"/>
      <c r="V23" s="2601"/>
    </row>
    <row r="24" spans="1:22" s="2605" customFormat="1" ht="13.15" customHeight="1">
      <c r="A24" s="2688"/>
      <c r="B24" s="2689" t="s">
        <v>2401</v>
      </c>
      <c r="C24" s="2690"/>
      <c r="D24" s="2691"/>
      <c r="E24" s="2692"/>
      <c r="F24" s="2693"/>
      <c r="G24" s="2687"/>
      <c r="H24" s="2600"/>
      <c r="I24" s="2601"/>
      <c r="J24" s="3335"/>
      <c r="K24" s="3338"/>
      <c r="L24" s="2655" t="s">
        <v>2362</v>
      </c>
      <c r="M24" s="2656">
        <f>SUM(M21:M23)</f>
        <v>0</v>
      </c>
      <c r="N24" s="2656"/>
      <c r="O24" s="2657"/>
      <c r="P24" s="2670" t="s">
        <v>2426</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2402</v>
      </c>
      <c r="L25" s="2696"/>
      <c r="M25" s="2696"/>
      <c r="N25" s="2696"/>
      <c r="O25" s="2696"/>
      <c r="P25" s="2697"/>
      <c r="Q25" s="2698">
        <v>0</v>
      </c>
      <c r="R25" s="2671">
        <f>ROUND(R14*Q25,0)</f>
        <v>0</v>
      </c>
      <c r="S25" s="2593"/>
      <c r="T25" s="2593"/>
      <c r="U25" s="2593"/>
      <c r="V25" s="2699"/>
    </row>
    <row r="26" spans="1:22" s="2700" customFormat="1" ht="13.15" customHeight="1">
      <c r="A26" s="2681">
        <v>2</v>
      </c>
      <c r="B26" s="2682" t="s">
        <v>2403</v>
      </c>
      <c r="C26" s="2683">
        <f>D7</f>
        <v>0</v>
      </c>
      <c r="D26" s="2684">
        <f>D23*D27</f>
        <v>0</v>
      </c>
      <c r="E26" s="2685">
        <f>E23*E27</f>
        <v>0</v>
      </c>
      <c r="F26" s="2686"/>
      <c r="G26" s="2687"/>
      <c r="H26" s="2600"/>
      <c r="I26" s="2601"/>
      <c r="J26" s="3339">
        <v>5</v>
      </c>
      <c r="K26" s="2701" t="s">
        <v>2404</v>
      </c>
      <c r="L26" s="2702"/>
      <c r="M26" s="2703"/>
      <c r="N26" s="2704" t="s">
        <v>2405</v>
      </c>
      <c r="O26" s="2704" t="s">
        <v>2406</v>
      </c>
      <c r="P26" s="2705" t="s">
        <v>2407</v>
      </c>
      <c r="Q26" s="2705" t="s">
        <v>2408</v>
      </c>
      <c r="R26" s="2610" t="s">
        <v>2333</v>
      </c>
      <c r="S26" s="2644"/>
      <c r="T26" s="2644"/>
      <c r="U26" s="2644"/>
      <c r="V26" s="2699"/>
    </row>
    <row r="27" spans="1:22" s="2605" customFormat="1" ht="13.15" customHeight="1">
      <c r="A27" s="2688"/>
      <c r="B27" s="2689" t="s">
        <v>2409</v>
      </c>
      <c r="C27" s="2706" t="e">
        <f>E7</f>
        <v>#DIV/0!</v>
      </c>
      <c r="D27" s="2691"/>
      <c r="E27" s="2692"/>
      <c r="F27" s="2693"/>
      <c r="G27" s="2687"/>
      <c r="H27" s="2707"/>
      <c r="I27" s="2699"/>
      <c r="J27" s="334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2410</v>
      </c>
      <c r="F28" s="2693"/>
      <c r="G28" s="2593"/>
      <c r="H28" s="2707"/>
      <c r="I28" s="2699"/>
      <c r="J28" s="2713">
        <v>6</v>
      </c>
      <c r="K28" s="2714" t="s">
        <v>2411</v>
      </c>
      <c r="L28" s="2715" t="s">
        <v>2412</v>
      </c>
      <c r="M28" s="2716"/>
      <c r="N28" s="2715" t="s">
        <v>2413</v>
      </c>
      <c r="O28" s="2717"/>
      <c r="P28" s="2715" t="s">
        <v>2414</v>
      </c>
      <c r="Q28" s="2718">
        <v>1.4999999999999999E-2</v>
      </c>
      <c r="R28" s="2719"/>
      <c r="S28" s="2593"/>
      <c r="T28" s="2593"/>
      <c r="U28" s="2593"/>
      <c r="V28" s="2699"/>
    </row>
    <row r="29" spans="1:22" s="2700" customFormat="1" ht="13.15" customHeight="1">
      <c r="A29" s="2681">
        <v>3</v>
      </c>
      <c r="B29" s="2682" t="s">
        <v>2415</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2409</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2416</v>
      </c>
      <c r="K31" s="2591"/>
      <c r="L31" s="2591"/>
      <c r="M31" s="2591"/>
      <c r="N31" s="2591"/>
      <c r="O31" s="2591"/>
      <c r="P31" s="2591"/>
      <c r="Q31" s="2591"/>
      <c r="R31" s="2592"/>
      <c r="S31" s="2593"/>
      <c r="T31" s="2593"/>
      <c r="U31" s="2593"/>
      <c r="V31" s="2699"/>
    </row>
    <row r="32" spans="1:22" s="2700" customFormat="1" ht="13.15" customHeight="1">
      <c r="A32" s="2681">
        <v>4</v>
      </c>
      <c r="B32" s="2682" t="s">
        <v>2417</v>
      </c>
      <c r="C32" s="2683">
        <f>C23-C26-C29</f>
        <v>0</v>
      </c>
      <c r="D32" s="2684">
        <f>D23-D26-D29</f>
        <v>0</v>
      </c>
      <c r="E32" s="2685">
        <f>E23-E26-E29</f>
        <v>0</v>
      </c>
      <c r="F32" s="2686"/>
      <c r="G32" s="2593"/>
      <c r="H32" s="2600"/>
      <c r="I32" s="2601"/>
      <c r="J32" s="3341" t="s">
        <v>2309</v>
      </c>
      <c r="K32" s="3342"/>
      <c r="L32" s="2602" t="s">
        <v>2310</v>
      </c>
      <c r="M32" s="2602" t="s">
        <v>2311</v>
      </c>
      <c r="N32" s="2602" t="s">
        <v>2312</v>
      </c>
      <c r="O32" s="2602" t="s">
        <v>2313</v>
      </c>
      <c r="P32" s="2602" t="s">
        <v>2314</v>
      </c>
      <c r="Q32" s="2603" t="s">
        <v>2315</v>
      </c>
      <c r="R32" s="2722" t="s">
        <v>2316</v>
      </c>
      <c r="S32" s="2593"/>
      <c r="T32" s="2593"/>
      <c r="U32" s="2593"/>
      <c r="V32" s="2699"/>
    </row>
    <row r="33" spans="1:23" s="2605" customFormat="1" ht="13.15" customHeight="1">
      <c r="A33" s="2681"/>
      <c r="B33" s="2682"/>
      <c r="C33" s="2683"/>
      <c r="D33" s="2723"/>
      <c r="E33" s="2724"/>
      <c r="F33" s="2686"/>
      <c r="G33" s="2593"/>
      <c r="H33" s="2707"/>
      <c r="I33" s="2699"/>
      <c r="J33" s="3343" t="s">
        <v>2319</v>
      </c>
      <c r="K33" s="3344"/>
      <c r="L33" s="2608"/>
      <c r="M33" s="2608"/>
      <c r="N33" s="2608"/>
      <c r="O33" s="2608"/>
      <c r="P33" s="2608"/>
      <c r="Q33" s="2609"/>
      <c r="R33" s="2725">
        <f>SUM(L33:Q33)</f>
        <v>0</v>
      </c>
      <c r="S33" s="2593"/>
      <c r="T33" s="2593"/>
      <c r="U33" s="2593"/>
      <c r="V33" s="2601"/>
    </row>
    <row r="34" spans="1:23" s="2605" customFormat="1" ht="13.15" customHeight="1">
      <c r="A34" s="2681">
        <v>5</v>
      </c>
      <c r="B34" s="2682" t="s">
        <v>2418</v>
      </c>
      <c r="C34" s="2726"/>
      <c r="D34" s="2727"/>
      <c r="E34" s="2728"/>
      <c r="F34" s="2686"/>
      <c r="G34" s="2593"/>
      <c r="H34" s="2707"/>
      <c r="I34" s="2699"/>
      <c r="J34" s="3343" t="s">
        <v>2321</v>
      </c>
      <c r="K34" s="3344"/>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2419</v>
      </c>
      <c r="C35" s="2730"/>
      <c r="D35" s="2731"/>
      <c r="E35" s="2732"/>
      <c r="F35" s="2686"/>
      <c r="G35" s="2733"/>
      <c r="H35" s="2600"/>
      <c r="I35" s="2699"/>
      <c r="J35" s="2619" t="s">
        <v>2323</v>
      </c>
      <c r="K35" s="2620"/>
      <c r="L35" s="2620"/>
      <c r="M35" s="2621"/>
      <c r="N35" s="2621"/>
      <c r="O35" s="2621"/>
      <c r="P35" s="2621"/>
      <c r="Q35" s="2621"/>
      <c r="R35" s="2734">
        <f>R40+R41+R43</f>
        <v>0</v>
      </c>
      <c r="S35" s="2593"/>
      <c r="T35" s="2593" t="s">
        <v>2324</v>
      </c>
      <c r="U35" s="2593"/>
      <c r="V35" s="2601"/>
    </row>
    <row r="36" spans="1:23" s="2605" customFormat="1" ht="13.15" customHeight="1" thickBot="1">
      <c r="A36" s="2681">
        <v>7</v>
      </c>
      <c r="B36" s="2735" t="s">
        <v>2420</v>
      </c>
      <c r="C36" s="2736"/>
      <c r="D36" s="2737"/>
      <c r="E36" s="2738"/>
      <c r="F36" s="2739">
        <f>C36+D36+E36</f>
        <v>0</v>
      </c>
      <c r="G36" s="2593"/>
      <c r="H36" s="2600"/>
      <c r="I36" s="2601"/>
      <c r="J36" s="3335">
        <v>1</v>
      </c>
      <c r="K36" s="3336" t="s">
        <v>2421</v>
      </c>
      <c r="L36" s="2626"/>
      <c r="M36" s="2627"/>
      <c r="N36" s="2627"/>
      <c r="O36" s="2627"/>
      <c r="P36" s="2627"/>
      <c r="Q36" s="2627"/>
      <c r="R36" s="2610" t="s">
        <v>2333</v>
      </c>
      <c r="S36" s="2593"/>
      <c r="T36" s="2593" t="s">
        <v>2334</v>
      </c>
      <c r="U36" s="2593"/>
      <c r="V36" s="2601"/>
    </row>
    <row r="37" spans="1:23" s="2605" customFormat="1" ht="13.15" customHeight="1">
      <c r="A37" s="2681"/>
      <c r="B37" s="2682"/>
      <c r="C37" s="2682"/>
      <c r="D37" s="2682"/>
      <c r="E37" s="2682"/>
      <c r="F37" s="2686"/>
      <c r="G37" s="2593"/>
      <c r="H37" s="2600"/>
      <c r="I37" s="2601"/>
      <c r="J37" s="3335"/>
      <c r="K37" s="3337"/>
      <c r="L37" s="2635"/>
      <c r="M37" s="2636"/>
      <c r="N37" s="2612"/>
      <c r="O37" s="2637"/>
      <c r="P37" s="2637"/>
      <c r="Q37" s="2638"/>
      <c r="R37" s="2639"/>
      <c r="S37" s="2593"/>
      <c r="T37" s="2593" t="s">
        <v>2337</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35"/>
      <c r="K38" s="3337"/>
      <c r="L38" s="2635"/>
      <c r="M38" s="2636"/>
      <c r="N38" s="2612"/>
      <c r="O38" s="2637"/>
      <c r="P38" s="2637"/>
      <c r="Q38" s="2638"/>
      <c r="R38" s="2639"/>
      <c r="S38" s="2593"/>
      <c r="T38" s="2593" t="s">
        <v>2344</v>
      </c>
      <c r="U38" s="2593"/>
      <c r="V38" s="2601"/>
    </row>
    <row r="39" spans="1:23" s="2605" customFormat="1" ht="13.15" customHeight="1">
      <c r="A39" s="2681">
        <v>9</v>
      </c>
      <c r="B39" s="2682" t="s">
        <v>2422</v>
      </c>
      <c r="C39" s="2649" t="e">
        <f>C38</f>
        <v>#DIV/0!</v>
      </c>
      <c r="D39" s="2682">
        <f>D38/(1+D34)^C36</f>
        <v>0</v>
      </c>
      <c r="E39" s="2682">
        <f>E38/(1+E34)^(C36+D36)</f>
        <v>0</v>
      </c>
      <c r="F39" s="2686"/>
      <c r="G39" s="2601"/>
      <c r="H39" s="2600"/>
      <c r="I39" s="2601"/>
      <c r="J39" s="3335"/>
      <c r="K39" s="3337"/>
      <c r="L39" s="2635"/>
      <c r="M39" s="2636"/>
      <c r="N39" s="2612"/>
      <c r="O39" s="2637"/>
      <c r="P39" s="2637"/>
      <c r="Q39" s="2638"/>
      <c r="R39" s="2639"/>
      <c r="S39" s="2593"/>
      <c r="T39" s="2593"/>
      <c r="U39" s="2593"/>
      <c r="V39" s="2601"/>
    </row>
    <row r="40" spans="1:23" s="2605" customFormat="1" ht="13.15" customHeight="1">
      <c r="A40" s="2740">
        <v>10</v>
      </c>
      <c r="B40" s="2682" t="s">
        <v>2423</v>
      </c>
      <c r="C40" s="2741" t="e">
        <f>C39+D39+E39</f>
        <v>#DIV/0!</v>
      </c>
      <c r="D40" s="2742"/>
      <c r="E40" s="2742"/>
      <c r="F40" s="2743"/>
      <c r="G40" s="2593"/>
      <c r="H40" s="2600"/>
      <c r="I40" s="2601"/>
      <c r="J40" s="3335"/>
      <c r="K40" s="3338"/>
      <c r="L40" s="2655" t="s">
        <v>2362</v>
      </c>
      <c r="M40" s="2656"/>
      <c r="N40" s="2656"/>
      <c r="O40" s="2657"/>
      <c r="P40" s="2657"/>
      <c r="Q40" s="2658"/>
      <c r="R40" s="2604">
        <f>SUM(R37:R39)</f>
        <v>0</v>
      </c>
      <c r="S40" s="2593"/>
      <c r="T40" s="2593"/>
      <c r="U40" s="2593"/>
      <c r="V40" s="2601"/>
    </row>
    <row r="41" spans="1:23" s="2605" customFormat="1" ht="13.15" customHeight="1" thickBot="1">
      <c r="A41" s="2744">
        <v>11</v>
      </c>
      <c r="B41" s="2745" t="s">
        <v>2424</v>
      </c>
      <c r="C41" s="2745" t="e">
        <f>ROUND(C40*10000/B4,0)</f>
        <v>#DIV/0!</v>
      </c>
      <c r="D41" s="2746"/>
      <c r="E41" s="2746"/>
      <c r="F41" s="2747"/>
      <c r="G41" s="2600"/>
      <c r="H41" s="2600"/>
      <c r="I41" s="2601"/>
      <c r="J41" s="2694">
        <v>2</v>
      </c>
      <c r="K41" s="2695" t="s">
        <v>2402</v>
      </c>
      <c r="L41" s="2696"/>
      <c r="M41" s="2696"/>
      <c r="N41" s="2696"/>
      <c r="O41" s="2696"/>
      <c r="P41" s="2697"/>
      <c r="Q41" s="2698"/>
      <c r="R41" s="2671">
        <f>ROUND(R40*Q41,0)</f>
        <v>0</v>
      </c>
      <c r="S41" s="2593"/>
      <c r="T41" s="2593"/>
      <c r="U41" s="2644"/>
      <c r="V41" s="2601"/>
    </row>
    <row r="42" spans="1:23" s="2605" customFormat="1" ht="13.15" customHeight="1">
      <c r="G42" s="2600"/>
      <c r="H42" s="2600"/>
      <c r="I42" s="2601"/>
      <c r="J42" s="3339">
        <v>3</v>
      </c>
      <c r="K42" s="2701" t="s">
        <v>2404</v>
      </c>
      <c r="L42" s="2702"/>
      <c r="M42" s="2703"/>
      <c r="N42" s="2704" t="s">
        <v>2405</v>
      </c>
      <c r="O42" s="2704" t="s">
        <v>2406</v>
      </c>
      <c r="P42" s="2705" t="s">
        <v>2407</v>
      </c>
      <c r="Q42" s="2705" t="s">
        <v>2408</v>
      </c>
      <c r="R42" s="2610" t="s">
        <v>2333</v>
      </c>
      <c r="S42" s="2644"/>
      <c r="T42" s="2644"/>
      <c r="U42" s="2593"/>
      <c r="V42" s="2601"/>
    </row>
    <row r="43" spans="1:23" ht="13.15" customHeight="1">
      <c r="A43" s="2605"/>
      <c r="B43" s="2605"/>
      <c r="C43" s="2605"/>
      <c r="D43" s="2605"/>
      <c r="E43" s="2605"/>
      <c r="F43" s="2605"/>
      <c r="I43" s="2588"/>
      <c r="J43" s="334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2411</v>
      </c>
      <c r="L44" s="2750" t="s">
        <v>2412</v>
      </c>
      <c r="M44" s="2716"/>
      <c r="N44" s="2750" t="s">
        <v>2413</v>
      </c>
      <c r="O44" s="2716"/>
      <c r="P44" s="2750" t="s">
        <v>2414</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1" sqref="E1"/>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7636</v>
      </c>
      <c r="C2" s="1729" t="s">
        <v>1651</v>
      </c>
      <c r="D2" s="1730" t="s">
        <v>1652</v>
      </c>
      <c r="E2" s="2393">
        <f>SUM(E6:E13)</f>
        <v>3905.76</v>
      </c>
      <c r="F2" s="2480"/>
      <c r="G2" s="459"/>
      <c r="H2" s="459"/>
      <c r="I2" s="459"/>
      <c r="J2" s="459"/>
      <c r="K2" s="459"/>
      <c r="L2" s="459"/>
      <c r="M2" s="459"/>
      <c r="N2" s="459"/>
      <c r="O2" s="459"/>
      <c r="P2" s="459"/>
      <c r="Q2" s="459"/>
      <c r="R2" s="459"/>
      <c r="S2" s="459"/>
    </row>
    <row r="3" spans="1:22" ht="15.75">
      <c r="A3" s="1728" t="s">
        <v>686</v>
      </c>
      <c r="B3" s="2387">
        <f ca="1">ROUND(B2*10000/E2,0)</f>
        <v>19551</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54" t="s">
        <v>1654</v>
      </c>
      <c r="C5" s="3355"/>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7636</v>
      </c>
      <c r="C6" s="1729" t="s">
        <v>1651</v>
      </c>
      <c r="D6" s="2480"/>
      <c r="E6" s="2392">
        <f>IF(OR(A6=0,F6="否"),0,'数据-取费表'!K6+'数据-取费表'!S6)</f>
        <v>3905.76</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3905.76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4" t="s">
        <v>1667</v>
      </c>
      <c r="D4" s="3375"/>
      <c r="E4" s="3376" t="s">
        <v>1668</v>
      </c>
      <c r="F4" s="3377"/>
      <c r="G4" s="3374" t="s">
        <v>1669</v>
      </c>
      <c r="H4" s="3375"/>
      <c r="I4" s="3374" t="s">
        <v>1670</v>
      </c>
      <c r="J4" s="3375"/>
      <c r="K4" s="1744" t="s">
        <v>1671</v>
      </c>
      <c r="L4" s="2487"/>
      <c r="M4" s="2488"/>
      <c r="N4" s="2488"/>
      <c r="O4" s="2488"/>
      <c r="P4" s="3378" t="s">
        <v>1672</v>
      </c>
      <c r="Q4" s="3379"/>
      <c r="R4" s="3384" t="s">
        <v>1668</v>
      </c>
      <c r="S4" s="3385"/>
      <c r="T4" s="3384" t="s">
        <v>1669</v>
      </c>
      <c r="U4" s="3385"/>
      <c r="V4" s="3360" t="s">
        <v>1670</v>
      </c>
      <c r="W4" s="3360"/>
      <c r="X4" s="1265"/>
      <c r="Y4" s="3384" t="s">
        <v>1672</v>
      </c>
      <c r="Z4" s="3385"/>
      <c r="AA4" s="3371" t="s">
        <v>1668</v>
      </c>
      <c r="AB4" s="3371" t="s">
        <v>1669</v>
      </c>
      <c r="AC4" s="3371" t="s">
        <v>1670</v>
      </c>
    </row>
    <row r="5" spans="1:29" ht="15">
      <c r="A5" s="348"/>
      <c r="B5" s="349"/>
      <c r="C5" s="3392" t="s">
        <v>1673</v>
      </c>
      <c r="D5" s="3393"/>
      <c r="E5" s="3399" t="s">
        <v>1674</v>
      </c>
      <c r="F5" s="3400"/>
      <c r="G5" s="3392" t="s">
        <v>1675</v>
      </c>
      <c r="H5" s="3393"/>
      <c r="I5" s="3392" t="s">
        <v>1676</v>
      </c>
      <c r="J5" s="3393"/>
      <c r="K5" s="1745"/>
      <c r="L5" s="2487"/>
      <c r="M5" s="2488"/>
      <c r="N5" s="2488"/>
      <c r="O5" s="2488"/>
      <c r="P5" s="3380"/>
      <c r="Q5" s="3381"/>
      <c r="R5" s="3386"/>
      <c r="S5" s="3387"/>
      <c r="T5" s="3386"/>
      <c r="U5" s="3387"/>
      <c r="V5" s="3360"/>
      <c r="W5" s="3360"/>
      <c r="X5" s="1265"/>
      <c r="Y5" s="3386"/>
      <c r="Z5" s="3387"/>
      <c r="AA5" s="3372"/>
      <c r="AB5" s="3372"/>
      <c r="AC5" s="3372"/>
    </row>
    <row r="6" spans="1:29" ht="15.75" thickBot="1">
      <c r="A6" s="350"/>
      <c r="B6" s="351"/>
      <c r="C6" s="3390" t="s">
        <v>1677</v>
      </c>
      <c r="D6" s="3391"/>
      <c r="E6" s="3397" t="s">
        <v>1677</v>
      </c>
      <c r="F6" s="3398"/>
      <c r="G6" s="3390" t="s">
        <v>1677</v>
      </c>
      <c r="H6" s="3391"/>
      <c r="I6" s="3390" t="s">
        <v>1677</v>
      </c>
      <c r="J6" s="3391"/>
      <c r="K6" s="1745" t="s">
        <v>1678</v>
      </c>
      <c r="L6" s="2487"/>
      <c r="M6" s="2488"/>
      <c r="N6" s="2488"/>
      <c r="O6" s="2488"/>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45629</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4" t="s">
        <v>1680</v>
      </c>
      <c r="Q7" s="3396"/>
      <c r="R7" s="664" t="s">
        <v>20</v>
      </c>
      <c r="S7" s="665">
        <f t="shared" ref="S7:S15" si="0">F7</f>
        <v>0</v>
      </c>
      <c r="T7" s="664" t="s">
        <v>20</v>
      </c>
      <c r="U7" s="665">
        <f t="shared" ref="U7:U15" si="1">H7</f>
        <v>0</v>
      </c>
      <c r="V7" s="664" t="s">
        <v>20</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4" t="s">
        <v>1683</v>
      </c>
      <c r="Q8" s="3395"/>
      <c r="R8" s="664" t="s">
        <v>20</v>
      </c>
      <c r="S8" s="665">
        <f t="shared" si="0"/>
        <v>100</v>
      </c>
      <c r="T8" s="664" t="s">
        <v>20</v>
      </c>
      <c r="U8" s="665">
        <f t="shared" si="1"/>
        <v>100</v>
      </c>
      <c r="V8" s="664" t="s">
        <v>20</v>
      </c>
      <c r="W8" s="665">
        <f t="shared" si="2"/>
        <v>100</v>
      </c>
      <c r="X8" s="666"/>
      <c r="Y8" s="3394" t="s">
        <v>1683</v>
      </c>
      <c r="Z8" s="339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0"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0"/>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0"/>
      <c r="Q11" s="530" t="str">
        <f t="shared" si="6"/>
        <v>容积率</v>
      </c>
      <c r="R11" s="664" t="s">
        <v>18</v>
      </c>
      <c r="S11" s="665" t="e">
        <f t="shared" si="0"/>
        <v>#N/A</v>
      </c>
      <c r="T11" s="664" t="s">
        <v>18</v>
      </c>
      <c r="U11" s="665" t="e">
        <f t="shared" si="1"/>
        <v>#N/A</v>
      </c>
      <c r="V11" s="664" t="s">
        <v>18</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0"/>
      <c r="Q12" s="530">
        <f t="shared" si="6"/>
        <v>111</v>
      </c>
      <c r="R12" s="664" t="s">
        <v>18</v>
      </c>
      <c r="S12" s="665">
        <f t="shared" si="0"/>
        <v>100</v>
      </c>
      <c r="T12" s="664" t="s">
        <v>18</v>
      </c>
      <c r="U12" s="665">
        <f t="shared" si="1"/>
        <v>100</v>
      </c>
      <c r="V12" s="664" t="s">
        <v>18</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0"/>
      <c r="Q13" s="530">
        <f t="shared" si="6"/>
        <v>111</v>
      </c>
      <c r="R13" s="664" t="s">
        <v>18</v>
      </c>
      <c r="S13" s="665">
        <f t="shared" si="0"/>
        <v>100</v>
      </c>
      <c r="T13" s="664" t="s">
        <v>18</v>
      </c>
      <c r="U13" s="665">
        <f t="shared" si="1"/>
        <v>100</v>
      </c>
      <c r="V13" s="664" t="s">
        <v>18</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0"/>
      <c r="Q14" s="530">
        <f t="shared" si="6"/>
        <v>111</v>
      </c>
      <c r="R14" s="664" t="s">
        <v>18</v>
      </c>
      <c r="S14" s="665">
        <f t="shared" si="0"/>
        <v>100</v>
      </c>
      <c r="T14" s="664" t="s">
        <v>18</v>
      </c>
      <c r="U14" s="665">
        <f t="shared" si="1"/>
        <v>100</v>
      </c>
      <c r="V14" s="664" t="s">
        <v>18</v>
      </c>
      <c r="W14" s="665">
        <f t="shared" si="2"/>
        <v>100</v>
      </c>
      <c r="X14" s="666"/>
      <c r="Y14" s="3234"/>
      <c r="Z14" s="50">
        <f t="shared" si="7"/>
        <v>111</v>
      </c>
      <c r="AA14" s="50">
        <f t="shared" si="3"/>
        <v>1</v>
      </c>
      <c r="AB14" s="50">
        <f t="shared" si="4"/>
        <v>1</v>
      </c>
      <c r="AC14" s="50">
        <f t="shared" si="5"/>
        <v>1</v>
      </c>
    </row>
    <row r="15" spans="1:29" ht="85.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68" t="s">
        <v>1691</v>
      </c>
      <c r="Q15" s="1263" t="str">
        <f t="shared" si="6"/>
        <v>居住社区成熟度</v>
      </c>
      <c r="R15" s="667" t="s">
        <v>18</v>
      </c>
      <c r="S15" s="668">
        <f t="shared" si="0"/>
        <v>100</v>
      </c>
      <c r="T15" s="667" t="s">
        <v>18</v>
      </c>
      <c r="U15" s="668">
        <f t="shared" si="1"/>
        <v>100</v>
      </c>
      <c r="V15" s="667" t="s">
        <v>18</v>
      </c>
      <c r="W15" s="668">
        <f t="shared" si="2"/>
        <v>100</v>
      </c>
      <c r="X15" s="1265"/>
      <c r="Y15" s="336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69"/>
      <c r="Q16" s="1263"/>
      <c r="R16" s="667"/>
      <c r="S16" s="668"/>
      <c r="T16" s="667"/>
      <c r="U16" s="668"/>
      <c r="V16" s="667"/>
      <c r="W16" s="668"/>
      <c r="X16" s="1265"/>
      <c r="Y16" s="3362"/>
      <c r="Z16" s="1264"/>
      <c r="AA16" s="1264">
        <v>1</v>
      </c>
      <c r="AB16" s="1264">
        <v>1</v>
      </c>
      <c r="AC16" s="1264">
        <v>1</v>
      </c>
    </row>
    <row r="17" spans="1:29" ht="71.2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69"/>
      <c r="Q17" s="1263" t="str">
        <f>B17</f>
        <v>交通便捷度</v>
      </c>
      <c r="R17" s="667" t="s">
        <v>18</v>
      </c>
      <c r="S17" s="668">
        <f>F17</f>
        <v>100</v>
      </c>
      <c r="T17" s="667" t="s">
        <v>18</v>
      </c>
      <c r="U17" s="668">
        <f>H17</f>
        <v>100</v>
      </c>
      <c r="V17" s="667" t="s">
        <v>18</v>
      </c>
      <c r="W17" s="668">
        <f>J17</f>
        <v>100</v>
      </c>
      <c r="X17" s="1265"/>
      <c r="Y17" s="336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69"/>
      <c r="Q18" s="1263"/>
      <c r="R18" s="667"/>
      <c r="S18" s="668"/>
      <c r="T18" s="667"/>
      <c r="U18" s="668"/>
      <c r="V18" s="667"/>
      <c r="W18" s="668"/>
      <c r="X18" s="1265"/>
      <c r="Y18" s="3362"/>
      <c r="Z18" s="1264"/>
      <c r="AA18" s="1264">
        <v>1</v>
      </c>
      <c r="AB18" s="1264">
        <v>1</v>
      </c>
      <c r="AC18" s="1264">
        <v>1</v>
      </c>
    </row>
    <row r="19" spans="1:29" ht="42.7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69"/>
      <c r="Q19" s="1263" t="str">
        <f>B19</f>
        <v>公共配套设施</v>
      </c>
      <c r="R19" s="667" t="s">
        <v>18</v>
      </c>
      <c r="S19" s="668">
        <f>F19</f>
        <v>100</v>
      </c>
      <c r="T19" s="667" t="s">
        <v>18</v>
      </c>
      <c r="U19" s="668">
        <f>H19</f>
        <v>100</v>
      </c>
      <c r="V19" s="667" t="s">
        <v>18</v>
      </c>
      <c r="W19" s="668">
        <f>J19</f>
        <v>100</v>
      </c>
      <c r="X19" s="1265"/>
      <c r="Y19" s="336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69"/>
      <c r="Q20" s="1263"/>
      <c r="R20" s="667"/>
      <c r="S20" s="668"/>
      <c r="T20" s="667"/>
      <c r="U20" s="668"/>
      <c r="V20" s="667"/>
      <c r="W20" s="668"/>
      <c r="X20" s="1265"/>
      <c r="Y20" s="3362"/>
      <c r="Z20" s="1264"/>
      <c r="AA20" s="1264">
        <v>1</v>
      </c>
      <c r="AB20" s="1264">
        <v>1</v>
      </c>
      <c r="AC20" s="1264">
        <v>1</v>
      </c>
    </row>
    <row r="21" spans="1:29" ht="28.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69"/>
      <c r="Q21" s="1263" t="str">
        <f>B21</f>
        <v>基础设施水平</v>
      </c>
      <c r="R21" s="667" t="s">
        <v>14</v>
      </c>
      <c r="S21" s="668">
        <f>F21</f>
        <v>100</v>
      </c>
      <c r="T21" s="667" t="s">
        <v>14</v>
      </c>
      <c r="U21" s="668">
        <f>H21</f>
        <v>100</v>
      </c>
      <c r="V21" s="667" t="s">
        <v>14</v>
      </c>
      <c r="W21" s="668">
        <f>J21</f>
        <v>100</v>
      </c>
      <c r="X21" s="1265"/>
      <c r="Y21" s="336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69"/>
      <c r="Q22" s="1263"/>
      <c r="R22" s="667"/>
      <c r="S22" s="668"/>
      <c r="T22" s="667"/>
      <c r="U22" s="668"/>
      <c r="V22" s="667"/>
      <c r="W22" s="668"/>
      <c r="X22" s="1265"/>
      <c r="Y22" s="3362"/>
      <c r="Z22" s="1264"/>
      <c r="AA22" s="1264">
        <v>1</v>
      </c>
      <c r="AB22" s="1264">
        <v>1</v>
      </c>
      <c r="AC22" s="1264">
        <v>1</v>
      </c>
    </row>
    <row r="23" spans="1:29" ht="42.7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69"/>
      <c r="Q23" s="1263" t="str">
        <f>B23</f>
        <v>自然及人文环境</v>
      </c>
      <c r="R23" s="667" t="s">
        <v>18</v>
      </c>
      <c r="S23" s="668">
        <f>F23</f>
        <v>100</v>
      </c>
      <c r="T23" s="667" t="s">
        <v>18</v>
      </c>
      <c r="U23" s="668">
        <f>H23</f>
        <v>100</v>
      </c>
      <c r="V23" s="667" t="s">
        <v>18</v>
      </c>
      <c r="W23" s="668">
        <f>J23</f>
        <v>100</v>
      </c>
      <c r="X23" s="1265"/>
      <c r="Y23" s="336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69"/>
      <c r="Q24" s="1263"/>
      <c r="R24" s="667"/>
      <c r="S24" s="668"/>
      <c r="T24" s="667"/>
      <c r="U24" s="668"/>
      <c r="V24" s="667"/>
      <c r="W24" s="668"/>
      <c r="X24" s="1265"/>
      <c r="Y24" s="336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6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69"/>
      <c r="Q26" s="1263" t="str">
        <f t="shared" si="11"/>
        <v>朝向</v>
      </c>
      <c r="R26" s="667" t="s">
        <v>18</v>
      </c>
      <c r="S26" s="668">
        <f t="shared" si="12"/>
        <v>100</v>
      </c>
      <c r="T26" s="667" t="s">
        <v>18</v>
      </c>
      <c r="U26" s="668">
        <f t="shared" si="13"/>
        <v>100</v>
      </c>
      <c r="V26" s="667" t="s">
        <v>18</v>
      </c>
      <c r="W26" s="668">
        <f t="shared" si="14"/>
        <v>100</v>
      </c>
      <c r="X26" s="1265"/>
      <c r="Y26" s="336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69"/>
      <c r="Q27" s="530">
        <f t="shared" si="11"/>
        <v>111</v>
      </c>
      <c r="R27" s="664" t="s">
        <v>18</v>
      </c>
      <c r="S27" s="665">
        <f t="shared" si="12"/>
        <v>100</v>
      </c>
      <c r="T27" s="664" t="s">
        <v>18</v>
      </c>
      <c r="U27" s="665">
        <f t="shared" si="13"/>
        <v>100</v>
      </c>
      <c r="V27" s="664" t="s">
        <v>18</v>
      </c>
      <c r="W27" s="665">
        <f t="shared" si="14"/>
        <v>100</v>
      </c>
      <c r="X27" s="666"/>
      <c r="Y27" s="336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69"/>
      <c r="Q28" s="1263">
        <f t="shared" si="11"/>
        <v>111</v>
      </c>
      <c r="R28" s="667" t="s">
        <v>18</v>
      </c>
      <c r="S28" s="668">
        <f t="shared" si="12"/>
        <v>100</v>
      </c>
      <c r="T28" s="667" t="s">
        <v>18</v>
      </c>
      <c r="U28" s="668">
        <f t="shared" si="13"/>
        <v>100</v>
      </c>
      <c r="V28" s="667" t="s">
        <v>18</v>
      </c>
      <c r="W28" s="668">
        <f t="shared" si="14"/>
        <v>100</v>
      </c>
      <c r="X28" s="1265"/>
      <c r="Y28" s="336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69"/>
      <c r="Q29" s="1263">
        <f t="shared" si="11"/>
        <v>111</v>
      </c>
      <c r="R29" s="667" t="s">
        <v>18</v>
      </c>
      <c r="S29" s="668">
        <f t="shared" si="12"/>
        <v>100</v>
      </c>
      <c r="T29" s="667" t="s">
        <v>18</v>
      </c>
      <c r="U29" s="668">
        <f t="shared" si="13"/>
        <v>100</v>
      </c>
      <c r="V29" s="667" t="s">
        <v>18</v>
      </c>
      <c r="W29" s="668">
        <f t="shared" si="14"/>
        <v>100</v>
      </c>
      <c r="X29" s="1265"/>
      <c r="Y29" s="336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69"/>
      <c r="Q30" s="1263">
        <f t="shared" si="11"/>
        <v>111</v>
      </c>
      <c r="R30" s="667" t="s">
        <v>18</v>
      </c>
      <c r="S30" s="668">
        <f t="shared" si="12"/>
        <v>100</v>
      </c>
      <c r="T30" s="667" t="s">
        <v>18</v>
      </c>
      <c r="U30" s="668">
        <f t="shared" si="13"/>
        <v>100</v>
      </c>
      <c r="V30" s="667" t="s">
        <v>18</v>
      </c>
      <c r="W30" s="668">
        <f t="shared" si="14"/>
        <v>100</v>
      </c>
      <c r="X30" s="1265"/>
      <c r="Y30" s="336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69"/>
      <c r="Q31" s="1263">
        <f t="shared" si="11"/>
        <v>111</v>
      </c>
      <c r="R31" s="667" t="s">
        <v>18</v>
      </c>
      <c r="S31" s="668">
        <f t="shared" si="12"/>
        <v>100</v>
      </c>
      <c r="T31" s="667" t="s">
        <v>18</v>
      </c>
      <c r="U31" s="668">
        <f t="shared" si="13"/>
        <v>100</v>
      </c>
      <c r="V31" s="667" t="s">
        <v>18</v>
      </c>
      <c r="W31" s="668">
        <f t="shared" si="14"/>
        <v>100</v>
      </c>
      <c r="X31" s="1265"/>
      <c r="Y31" s="336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63" t="s">
        <v>1696</v>
      </c>
      <c r="Q32" s="1263" t="str">
        <f t="shared" si="11"/>
        <v>建筑类型</v>
      </c>
      <c r="R32" s="667" t="s">
        <v>18</v>
      </c>
      <c r="S32" s="668">
        <f t="shared" si="12"/>
        <v>100</v>
      </c>
      <c r="T32" s="667" t="s">
        <v>18</v>
      </c>
      <c r="U32" s="668">
        <f t="shared" si="13"/>
        <v>100</v>
      </c>
      <c r="V32" s="667" t="s">
        <v>18</v>
      </c>
      <c r="W32" s="668">
        <f t="shared" si="14"/>
        <v>100</v>
      </c>
      <c r="X32" s="1265"/>
      <c r="Y32" s="336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64"/>
      <c r="Q33" s="531" t="str">
        <f t="shared" si="11"/>
        <v>项目建筑规模</v>
      </c>
      <c r="R33" s="669" t="s">
        <v>18</v>
      </c>
      <c r="S33" s="670" t="e">
        <f t="shared" si="12"/>
        <v>#N/A</v>
      </c>
      <c r="T33" s="669" t="s">
        <v>18</v>
      </c>
      <c r="U33" s="670" t="e">
        <f t="shared" si="13"/>
        <v>#N/A</v>
      </c>
      <c r="V33" s="669" t="s">
        <v>18</v>
      </c>
      <c r="W33" s="670" t="e">
        <f t="shared" si="14"/>
        <v>#N/A</v>
      </c>
      <c r="X33" s="671"/>
      <c r="Y33" s="336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64"/>
      <c r="Q34" s="1263" t="str">
        <f t="shared" si="11"/>
        <v>建筑结构</v>
      </c>
      <c r="R34" s="667" t="s">
        <v>18</v>
      </c>
      <c r="S34" s="668">
        <f t="shared" si="12"/>
        <v>100</v>
      </c>
      <c r="T34" s="667" t="s">
        <v>18</v>
      </c>
      <c r="U34" s="668">
        <f t="shared" si="13"/>
        <v>100</v>
      </c>
      <c r="V34" s="667" t="s">
        <v>18</v>
      </c>
      <c r="W34" s="668">
        <f t="shared" si="14"/>
        <v>100</v>
      </c>
      <c r="X34" s="1265"/>
      <c r="Y34" s="336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64"/>
      <c r="Q35" s="1263" t="str">
        <f t="shared" si="11"/>
        <v>建筑品质</v>
      </c>
      <c r="R35" s="667" t="s">
        <v>18</v>
      </c>
      <c r="S35" s="668">
        <f t="shared" si="12"/>
        <v>100</v>
      </c>
      <c r="T35" s="667" t="s">
        <v>18</v>
      </c>
      <c r="U35" s="668">
        <f t="shared" si="13"/>
        <v>100</v>
      </c>
      <c r="V35" s="667" t="s">
        <v>18</v>
      </c>
      <c r="W35" s="668">
        <f t="shared" si="14"/>
        <v>100</v>
      </c>
      <c r="X35" s="1265"/>
      <c r="Y35" s="336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64"/>
      <c r="Q36" s="1263" t="str">
        <f t="shared" si="11"/>
        <v>公共部分装修</v>
      </c>
      <c r="R36" s="667" t="s">
        <v>18</v>
      </c>
      <c r="S36" s="668">
        <f t="shared" si="12"/>
        <v>100</v>
      </c>
      <c r="T36" s="667" t="s">
        <v>18</v>
      </c>
      <c r="U36" s="668">
        <f t="shared" si="13"/>
        <v>100</v>
      </c>
      <c r="V36" s="667" t="s">
        <v>18</v>
      </c>
      <c r="W36" s="668">
        <f t="shared" si="14"/>
        <v>100</v>
      </c>
      <c r="X36" s="1265"/>
      <c r="Y36" s="336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64"/>
      <c r="Q37" s="530" t="str">
        <f t="shared" si="11"/>
        <v>成新度</v>
      </c>
      <c r="R37" s="664" t="s">
        <v>18</v>
      </c>
      <c r="S37" s="665" t="e">
        <f t="shared" si="12"/>
        <v>#N/A</v>
      </c>
      <c r="T37" s="664" t="s">
        <v>18</v>
      </c>
      <c r="U37" s="665" t="e">
        <f t="shared" si="13"/>
        <v>#N/A</v>
      </c>
      <c r="V37" s="664" t="s">
        <v>18</v>
      </c>
      <c r="W37" s="665" t="e">
        <f t="shared" si="14"/>
        <v>#N/A</v>
      </c>
      <c r="X37" s="666"/>
      <c r="Y37" s="336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64" t="s">
        <v>1696</v>
      </c>
      <c r="Q38" s="1263" t="str">
        <f t="shared" si="11"/>
        <v>物业管理</v>
      </c>
      <c r="R38" s="667" t="s">
        <v>18</v>
      </c>
      <c r="S38" s="668">
        <f t="shared" si="12"/>
        <v>100</v>
      </c>
      <c r="T38" s="667" t="s">
        <v>18</v>
      </c>
      <c r="U38" s="668">
        <f t="shared" si="13"/>
        <v>100</v>
      </c>
      <c r="V38" s="667" t="s">
        <v>18</v>
      </c>
      <c r="W38" s="668">
        <f t="shared" si="14"/>
        <v>100</v>
      </c>
      <c r="X38" s="1265"/>
      <c r="Y38" s="336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64"/>
      <c r="Q39" s="1263" t="str">
        <f t="shared" si="11"/>
        <v>市政基础设施</v>
      </c>
      <c r="R39" s="667" t="s">
        <v>18</v>
      </c>
      <c r="S39" s="668">
        <f t="shared" si="12"/>
        <v>100</v>
      </c>
      <c r="T39" s="667" t="s">
        <v>18</v>
      </c>
      <c r="U39" s="668">
        <f t="shared" si="13"/>
        <v>100</v>
      </c>
      <c r="V39" s="667" t="s">
        <v>18</v>
      </c>
      <c r="W39" s="668">
        <f t="shared" si="14"/>
        <v>100</v>
      </c>
      <c r="X39" s="1265"/>
      <c r="Y39" s="336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64"/>
      <c r="Q40" s="1263" t="str">
        <f t="shared" si="11"/>
        <v>房型</v>
      </c>
      <c r="R40" s="667" t="s">
        <v>18</v>
      </c>
      <c r="S40" s="668">
        <f t="shared" si="12"/>
        <v>100</v>
      </c>
      <c r="T40" s="667" t="s">
        <v>18</v>
      </c>
      <c r="U40" s="668">
        <f t="shared" si="13"/>
        <v>100</v>
      </c>
      <c r="V40" s="667" t="s">
        <v>18</v>
      </c>
      <c r="W40" s="668">
        <f t="shared" si="14"/>
        <v>100</v>
      </c>
      <c r="X40" s="1265"/>
      <c r="Y40" s="336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64"/>
      <c r="Q41" s="531" t="str">
        <f t="shared" si="11"/>
        <v>单套/主力户型建筑面积</v>
      </c>
      <c r="R41" s="669" t="s">
        <v>18</v>
      </c>
      <c r="S41" s="670">
        <f t="shared" si="12"/>
        <v>100</v>
      </c>
      <c r="T41" s="669" t="s">
        <v>18</v>
      </c>
      <c r="U41" s="670">
        <f t="shared" si="13"/>
        <v>100</v>
      </c>
      <c r="V41" s="669" t="s">
        <v>18</v>
      </c>
      <c r="W41" s="670">
        <f t="shared" si="14"/>
        <v>100</v>
      </c>
      <c r="X41" s="671"/>
      <c r="Y41" s="336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64"/>
      <c r="Q42" s="1263" t="str">
        <f t="shared" si="11"/>
        <v>内部装修</v>
      </c>
      <c r="R42" s="667" t="s">
        <v>18</v>
      </c>
      <c r="S42" s="668">
        <f t="shared" si="12"/>
        <v>100</v>
      </c>
      <c r="T42" s="667" t="s">
        <v>18</v>
      </c>
      <c r="U42" s="668">
        <f t="shared" si="13"/>
        <v>100</v>
      </c>
      <c r="V42" s="667" t="s">
        <v>18</v>
      </c>
      <c r="W42" s="668">
        <f t="shared" si="14"/>
        <v>100</v>
      </c>
      <c r="X42" s="1265"/>
      <c r="Y42" s="336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64"/>
      <c r="Q43" s="1263" t="str">
        <f t="shared" si="11"/>
        <v>内部装修维护情况</v>
      </c>
      <c r="R43" s="667" t="s">
        <v>18</v>
      </c>
      <c r="S43" s="668">
        <f t="shared" si="12"/>
        <v>100</v>
      </c>
      <c r="T43" s="667" t="s">
        <v>18</v>
      </c>
      <c r="U43" s="668">
        <f t="shared" si="13"/>
        <v>100</v>
      </c>
      <c r="V43" s="667" t="s">
        <v>18</v>
      </c>
      <c r="W43" s="668">
        <f t="shared" si="14"/>
        <v>100</v>
      </c>
      <c r="X43" s="1265"/>
      <c r="Y43" s="336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64"/>
      <c r="Q44" s="530">
        <f t="shared" si="11"/>
        <v>111</v>
      </c>
      <c r="R44" s="664" t="s">
        <v>18</v>
      </c>
      <c r="S44" s="665">
        <f t="shared" si="12"/>
        <v>100</v>
      </c>
      <c r="T44" s="664" t="s">
        <v>18</v>
      </c>
      <c r="U44" s="665">
        <f t="shared" si="13"/>
        <v>100</v>
      </c>
      <c r="V44" s="664" t="s">
        <v>18</v>
      </c>
      <c r="W44" s="665">
        <f t="shared" si="14"/>
        <v>100</v>
      </c>
      <c r="X44" s="666"/>
      <c r="Y44" s="336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64"/>
      <c r="Q45" s="1263">
        <f t="shared" si="11"/>
        <v>111</v>
      </c>
      <c r="R45" s="667" t="s">
        <v>18</v>
      </c>
      <c r="S45" s="668">
        <f t="shared" si="12"/>
        <v>100</v>
      </c>
      <c r="T45" s="667" t="s">
        <v>18</v>
      </c>
      <c r="U45" s="668">
        <f t="shared" si="13"/>
        <v>100</v>
      </c>
      <c r="V45" s="667" t="s">
        <v>18</v>
      </c>
      <c r="W45" s="668">
        <f t="shared" si="14"/>
        <v>100</v>
      </c>
      <c r="X45" s="1265"/>
      <c r="Y45" s="336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65"/>
      <c r="Q46" s="1263">
        <f t="shared" si="11"/>
        <v>111</v>
      </c>
      <c r="R46" s="667" t="s">
        <v>17</v>
      </c>
      <c r="S46" s="668">
        <f t="shared" si="12"/>
        <v>100</v>
      </c>
      <c r="T46" s="667" t="s">
        <v>17</v>
      </c>
      <c r="U46" s="668">
        <f t="shared" si="13"/>
        <v>100</v>
      </c>
      <c r="V46" s="667" t="s">
        <v>17</v>
      </c>
      <c r="W46" s="668">
        <f t="shared" si="14"/>
        <v>100</v>
      </c>
      <c r="X46" s="1265"/>
      <c r="Y46" s="336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59" t="str">
        <f>A47</f>
        <v>成交单价（元/平方米）</v>
      </c>
      <c r="Q47" s="3359"/>
      <c r="R47" s="3360">
        <f>E47</f>
        <v>0</v>
      </c>
      <c r="S47" s="3360"/>
      <c r="T47" s="3360">
        <f>G47</f>
        <v>0</v>
      </c>
      <c r="U47" s="3360"/>
      <c r="V47" s="3360">
        <f>I47</f>
        <v>0</v>
      </c>
      <c r="W47" s="3360"/>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359" t="str">
        <f>A48</f>
        <v>比较价值（元/平方米）</v>
      </c>
      <c r="Q48" s="3359"/>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56" t="str">
        <f>A49</f>
        <v>估价对象XX用房的比较价值（楼面单价，元/平方米）</v>
      </c>
      <c r="Q49" s="3357"/>
      <c r="R49" s="3358" t="e">
        <f>IF(F1="售价",ROUND(IF(D48="简单平均",AVERAGE(R48:V48),R48*F48+T48*H48+V48*J48),0),ROUND(IF(D48="简单平均",AVERAGE(R48:V48),R48*F48+T48*H48+V48*J48),1))</f>
        <v>#DIV/0!</v>
      </c>
      <c r="S49" s="3358"/>
      <c r="T49" s="3358"/>
      <c r="U49" s="3358"/>
      <c r="V49" s="3358"/>
      <c r="W49" s="335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3" zoomScale="60" zoomScaleNormal="70" workbookViewId="0">
      <selection activeCell="F101" sqref="F10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t="s">
        <v>3408</v>
      </c>
      <c r="F1" s="1735" t="s">
        <v>3391</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13670.16</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35000</v>
      </c>
      <c r="C3" s="344" t="s">
        <v>1768</v>
      </c>
      <c r="D3" s="343">
        <f>IF(D1="",'数据-汇总表'!E3,SUMIF('数据-汇总表'!$C19:$C33,D1,'数据-汇总表'!$E19:$E33))</f>
        <v>3905.76</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60" t="s">
        <v>1772</v>
      </c>
      <c r="AC4" s="3371" t="s">
        <v>1773</v>
      </c>
    </row>
    <row r="5" spans="1:29" ht="15">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60"/>
      <c r="AC5" s="3372"/>
    </row>
    <row r="6" spans="1:29" ht="15.75" thickBot="1">
      <c r="A6" s="350"/>
      <c r="B6" s="351"/>
      <c r="C6" s="3390" t="s">
        <v>1677</v>
      </c>
      <c r="D6" s="3391"/>
      <c r="E6" s="3397" t="s">
        <v>1677</v>
      </c>
      <c r="F6" s="3398"/>
      <c r="G6" s="3390" t="s">
        <v>1677</v>
      </c>
      <c r="H6" s="3391"/>
      <c r="I6" s="3390" t="s">
        <v>1677</v>
      </c>
      <c r="J6" s="3391"/>
      <c r="K6" s="537" t="s">
        <v>1678</v>
      </c>
      <c r="L6" s="2487"/>
      <c r="M6" s="2488"/>
      <c r="N6" s="2488"/>
      <c r="O6" s="2488"/>
      <c r="P6" s="3382"/>
      <c r="Q6" s="3383"/>
      <c r="R6" s="3386"/>
      <c r="S6" s="3387"/>
      <c r="T6" s="3388"/>
      <c r="U6" s="3389"/>
      <c r="V6" s="3360"/>
      <c r="W6" s="3360"/>
      <c r="X6" s="1265"/>
      <c r="Y6" s="3388"/>
      <c r="Z6" s="3389"/>
      <c r="AA6" s="3373"/>
      <c r="AB6" s="3360"/>
      <c r="AC6" s="3373"/>
    </row>
    <row r="7" spans="1:29" s="102" customFormat="1" ht="15.75" thickBot="1">
      <c r="A7" s="352" t="s">
        <v>1679</v>
      </c>
      <c r="B7" s="353"/>
      <c r="C7" s="354">
        <f>'数据-取费表'!B2</f>
        <v>45629</v>
      </c>
      <c r="D7" s="355">
        <v>100</v>
      </c>
      <c r="E7" s="356">
        <f>C7</f>
        <v>45629</v>
      </c>
      <c r="F7" s="357">
        <f>SUMIF(58:58,YEAR(E7)&amp;"-"&amp;MONTH(E7),59:59)</f>
        <v>100</v>
      </c>
      <c r="G7" s="356">
        <f>E7</f>
        <v>45629</v>
      </c>
      <c r="H7" s="355">
        <f>SUMIF(58:58,YEAR(G7)&amp;"-"&amp;MONTH(G7),59:59)</f>
        <v>100</v>
      </c>
      <c r="I7" s="356">
        <f>E7</f>
        <v>45629</v>
      </c>
      <c r="J7" s="355">
        <f>SUMIF(58:58,YEAR(I7)&amp;"-"&amp;MONTH(I7),59:59)</f>
        <v>100</v>
      </c>
      <c r="K7" s="38"/>
      <c r="L7" s="2489"/>
      <c r="M7" s="2440"/>
      <c r="N7" s="2440"/>
      <c r="O7" s="2440"/>
      <c r="P7" s="3394" t="s">
        <v>1680</v>
      </c>
      <c r="Q7" s="3396"/>
      <c r="R7" s="664" t="s">
        <v>14</v>
      </c>
      <c r="S7" s="665">
        <f t="shared" ref="S7:S15" si="0">F7</f>
        <v>100</v>
      </c>
      <c r="T7" s="664" t="s">
        <v>14</v>
      </c>
      <c r="U7" s="665">
        <f t="shared" ref="U7:U15" si="1">H7</f>
        <v>100</v>
      </c>
      <c r="V7" s="664" t="s">
        <v>14</v>
      </c>
      <c r="W7" s="665">
        <f t="shared" ref="W7:W15" si="2">J7</f>
        <v>100</v>
      </c>
      <c r="X7" s="666"/>
      <c r="Y7" s="3394" t="s">
        <v>1680</v>
      </c>
      <c r="Z7" s="3395"/>
      <c r="AA7" s="50">
        <f>D7/F7</f>
        <v>1</v>
      </c>
      <c r="AB7" s="50">
        <f>D7/H7</f>
        <v>1</v>
      </c>
      <c r="AC7" s="50">
        <f>D7/J7</f>
        <v>1</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4" t="s">
        <v>1683</v>
      </c>
      <c r="Q8" s="3395"/>
      <c r="R8" s="664" t="s">
        <v>14</v>
      </c>
      <c r="S8" s="665">
        <f t="shared" si="0"/>
        <v>100</v>
      </c>
      <c r="T8" s="664" t="s">
        <v>14</v>
      </c>
      <c r="U8" s="665">
        <f t="shared" si="1"/>
        <v>100</v>
      </c>
      <c r="V8" s="664" t="s">
        <v>14</v>
      </c>
      <c r="W8" s="665">
        <f t="shared" si="2"/>
        <v>100</v>
      </c>
      <c r="X8" s="666"/>
      <c r="Y8" s="3394" t="s">
        <v>1683</v>
      </c>
      <c r="Z8" s="339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0"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0"/>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70"/>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0"/>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0"/>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0"/>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71.2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68" t="s">
        <v>1691</v>
      </c>
      <c r="Q15" s="1263" t="str">
        <f t="shared" si="6"/>
        <v>商业繁华度</v>
      </c>
      <c r="R15" s="667" t="s">
        <v>14</v>
      </c>
      <c r="S15" s="668">
        <f t="shared" si="0"/>
        <v>100</v>
      </c>
      <c r="T15" s="667" t="s">
        <v>14</v>
      </c>
      <c r="U15" s="668">
        <f t="shared" si="1"/>
        <v>100</v>
      </c>
      <c r="V15" s="667" t="s">
        <v>14</v>
      </c>
      <c r="W15" s="668">
        <f t="shared" si="2"/>
        <v>100</v>
      </c>
      <c r="X15" s="1265"/>
      <c r="Y15" s="336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69"/>
      <c r="Q16" s="1263"/>
      <c r="R16" s="667"/>
      <c r="S16" s="668"/>
      <c r="T16" s="667"/>
      <c r="U16" s="668"/>
      <c r="V16" s="667"/>
      <c r="W16" s="668"/>
      <c r="X16" s="1265"/>
      <c r="Y16" s="3362"/>
      <c r="Z16" s="1264"/>
      <c r="AA16" s="1264">
        <v>1</v>
      </c>
      <c r="AB16" s="1264">
        <v>1</v>
      </c>
      <c r="AC16" s="1264">
        <v>1</v>
      </c>
    </row>
    <row r="17" spans="1:29" ht="85.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69"/>
      <c r="Q17" s="1263" t="str">
        <f>B17</f>
        <v>交通便捷度</v>
      </c>
      <c r="R17" s="667" t="s">
        <v>14</v>
      </c>
      <c r="S17" s="668">
        <f>F17</f>
        <v>100</v>
      </c>
      <c r="T17" s="667" t="s">
        <v>14</v>
      </c>
      <c r="U17" s="668">
        <f>H17</f>
        <v>100</v>
      </c>
      <c r="V17" s="667" t="s">
        <v>14</v>
      </c>
      <c r="W17" s="668">
        <f>J17</f>
        <v>100</v>
      </c>
      <c r="X17" s="1265"/>
      <c r="Y17" s="336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69"/>
      <c r="Q18" s="1263"/>
      <c r="R18" s="667"/>
      <c r="S18" s="668"/>
      <c r="T18" s="667"/>
      <c r="U18" s="668"/>
      <c r="V18" s="667"/>
      <c r="W18" s="668"/>
      <c r="X18" s="1265"/>
      <c r="Y18" s="3362"/>
      <c r="Z18" s="1264"/>
      <c r="AA18" s="1264">
        <v>1</v>
      </c>
      <c r="AB18" s="1264">
        <v>1</v>
      </c>
      <c r="AC18" s="1264">
        <v>1</v>
      </c>
    </row>
    <row r="19" spans="1:29" ht="42.7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69"/>
      <c r="Q19" s="1263" t="str">
        <f>B19</f>
        <v>公共配套设施</v>
      </c>
      <c r="R19" s="667" t="s">
        <v>14</v>
      </c>
      <c r="S19" s="668">
        <f>F19</f>
        <v>100</v>
      </c>
      <c r="T19" s="667" t="s">
        <v>14</v>
      </c>
      <c r="U19" s="668">
        <f>H19</f>
        <v>100</v>
      </c>
      <c r="V19" s="667" t="s">
        <v>14</v>
      </c>
      <c r="W19" s="668">
        <f>J19</f>
        <v>100</v>
      </c>
      <c r="X19" s="1265"/>
      <c r="Y19" s="336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69"/>
      <c r="Q20" s="1263"/>
      <c r="R20" s="667"/>
      <c r="S20" s="668"/>
      <c r="T20" s="667"/>
      <c r="U20" s="668"/>
      <c r="V20" s="667"/>
      <c r="W20" s="668"/>
      <c r="X20" s="1265"/>
      <c r="Y20" s="3362"/>
      <c r="Z20" s="1264"/>
      <c r="AA20" s="1264">
        <v>1</v>
      </c>
      <c r="AB20" s="1264">
        <v>1</v>
      </c>
      <c r="AC20" s="1264">
        <v>1</v>
      </c>
    </row>
    <row r="21" spans="1:29" ht="28.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69"/>
      <c r="Q21" s="1263" t="str">
        <f>B21</f>
        <v>基础设施水平</v>
      </c>
      <c r="R21" s="667" t="s">
        <v>14</v>
      </c>
      <c r="S21" s="668">
        <f>F21</f>
        <v>100</v>
      </c>
      <c r="T21" s="667" t="s">
        <v>14</v>
      </c>
      <c r="U21" s="668">
        <f>H21</f>
        <v>100</v>
      </c>
      <c r="V21" s="667" t="s">
        <v>14</v>
      </c>
      <c r="W21" s="668">
        <f>J21</f>
        <v>100</v>
      </c>
      <c r="X21" s="1265"/>
      <c r="Y21" s="336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69"/>
      <c r="Q22" s="1263"/>
      <c r="R22" s="667"/>
      <c r="S22" s="668"/>
      <c r="T22" s="667"/>
      <c r="U22" s="668"/>
      <c r="V22" s="667"/>
      <c r="W22" s="668"/>
      <c r="X22" s="1265"/>
      <c r="Y22" s="3362"/>
      <c r="Z22" s="1264"/>
      <c r="AA22" s="1264">
        <v>1</v>
      </c>
      <c r="AB22" s="1264">
        <v>1</v>
      </c>
      <c r="AC22" s="1264">
        <v>1</v>
      </c>
    </row>
    <row r="23" spans="1:29" ht="57">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69"/>
      <c r="Q23" s="1263" t="str">
        <f>B23</f>
        <v>自然及人文环境</v>
      </c>
      <c r="R23" s="667" t="s">
        <v>14</v>
      </c>
      <c r="S23" s="668">
        <f>F23</f>
        <v>100</v>
      </c>
      <c r="T23" s="667" t="s">
        <v>14</v>
      </c>
      <c r="U23" s="668">
        <f>H23</f>
        <v>100</v>
      </c>
      <c r="V23" s="667" t="s">
        <v>14</v>
      </c>
      <c r="W23" s="668">
        <f>J23</f>
        <v>100</v>
      </c>
      <c r="X23" s="1265"/>
      <c r="Y23" s="336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69"/>
      <c r="Q24" s="1263"/>
      <c r="R24" s="667"/>
      <c r="S24" s="668"/>
      <c r="T24" s="667"/>
      <c r="U24" s="668"/>
      <c r="V24" s="667"/>
      <c r="W24" s="668"/>
      <c r="X24" s="1265"/>
      <c r="Y24" s="336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69"/>
      <c r="Q25" s="1263" t="str">
        <f t="shared" ref="Q25:Q46" si="11">B25</f>
        <v>临街状况</v>
      </c>
      <c r="R25" s="667" t="s">
        <v>14</v>
      </c>
      <c r="S25" s="668">
        <f>F25</f>
        <v>100</v>
      </c>
      <c r="T25" s="667" t="s">
        <v>14</v>
      </c>
      <c r="U25" s="668">
        <f>H25</f>
        <v>100</v>
      </c>
      <c r="V25" s="667" t="s">
        <v>14</v>
      </c>
      <c r="W25" s="668">
        <f>J25</f>
        <v>100</v>
      </c>
      <c r="X25" s="1265"/>
      <c r="Y25" s="336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69"/>
      <c r="Q26" s="1263" t="str">
        <f t="shared" si="11"/>
        <v>平面位置/可视性</v>
      </c>
      <c r="R26" s="667" t="s">
        <v>14</v>
      </c>
      <c r="S26" s="668">
        <f>F26</f>
        <v>100</v>
      </c>
      <c r="T26" s="667" t="s">
        <v>14</v>
      </c>
      <c r="U26" s="668">
        <f>H26</f>
        <v>100</v>
      </c>
      <c r="V26" s="667" t="s">
        <v>14</v>
      </c>
      <c r="W26" s="668">
        <f>J26</f>
        <v>100</v>
      </c>
      <c r="X26" s="1265"/>
      <c r="Y26" s="336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69"/>
      <c r="Q27" s="530" t="str">
        <f t="shared" si="11"/>
        <v>人流量</v>
      </c>
      <c r="R27" s="664" t="s">
        <v>14</v>
      </c>
      <c r="S27" s="665">
        <f>F27</f>
        <v>100</v>
      </c>
      <c r="T27" s="664" t="s">
        <v>14</v>
      </c>
      <c r="U27" s="665">
        <f>H27</f>
        <v>100</v>
      </c>
      <c r="V27" s="664" t="s">
        <v>14</v>
      </c>
      <c r="W27" s="665">
        <f>J27</f>
        <v>100</v>
      </c>
      <c r="X27" s="666"/>
      <c r="Y27" s="336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6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69"/>
      <c r="Q29" s="1263">
        <f t="shared" si="11"/>
        <v>111</v>
      </c>
      <c r="R29" s="667" t="s">
        <v>14</v>
      </c>
      <c r="S29" s="668">
        <f t="shared" si="12"/>
        <v>100</v>
      </c>
      <c r="T29" s="667" t="s">
        <v>14</v>
      </c>
      <c r="U29" s="668">
        <f t="shared" si="13"/>
        <v>100</v>
      </c>
      <c r="V29" s="667" t="s">
        <v>14</v>
      </c>
      <c r="W29" s="668">
        <f t="shared" si="14"/>
        <v>100</v>
      </c>
      <c r="X29" s="1265"/>
      <c r="Y29" s="336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69"/>
      <c r="Q30" s="1263">
        <f t="shared" si="11"/>
        <v>111</v>
      </c>
      <c r="R30" s="667" t="s">
        <v>14</v>
      </c>
      <c r="S30" s="668">
        <f t="shared" si="12"/>
        <v>100</v>
      </c>
      <c r="T30" s="667" t="s">
        <v>14</v>
      </c>
      <c r="U30" s="668">
        <f t="shared" si="13"/>
        <v>100</v>
      </c>
      <c r="V30" s="667" t="s">
        <v>14</v>
      </c>
      <c r="W30" s="668">
        <f t="shared" si="14"/>
        <v>100</v>
      </c>
      <c r="X30" s="1265"/>
      <c r="Y30" s="336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69"/>
      <c r="Q31" s="1263">
        <f t="shared" si="11"/>
        <v>111</v>
      </c>
      <c r="R31" s="667" t="s">
        <v>14</v>
      </c>
      <c r="S31" s="668">
        <f t="shared" si="12"/>
        <v>100</v>
      </c>
      <c r="T31" s="667" t="s">
        <v>14</v>
      </c>
      <c r="U31" s="668">
        <f t="shared" si="13"/>
        <v>100</v>
      </c>
      <c r="V31" s="667" t="s">
        <v>14</v>
      </c>
      <c r="W31" s="668">
        <f t="shared" si="14"/>
        <v>100</v>
      </c>
      <c r="X31" s="1265"/>
      <c r="Y31" s="336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63" t="s">
        <v>1696</v>
      </c>
      <c r="Q32" s="1263" t="str">
        <f t="shared" si="11"/>
        <v>商业类型</v>
      </c>
      <c r="R32" s="667" t="s">
        <v>14</v>
      </c>
      <c r="S32" s="668">
        <f t="shared" si="12"/>
        <v>100</v>
      </c>
      <c r="T32" s="667" t="s">
        <v>14</v>
      </c>
      <c r="U32" s="668">
        <f t="shared" si="13"/>
        <v>100</v>
      </c>
      <c r="V32" s="667" t="s">
        <v>14</v>
      </c>
      <c r="W32" s="668">
        <f t="shared" si="14"/>
        <v>100</v>
      </c>
      <c r="X32" s="1265"/>
      <c r="Y32" s="336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8"/>
      <c r="J33" s="119">
        <f>LOOKUP(I33,103:103,104:104)-LOOKUP(C33,103:103,104:104)+100</f>
        <v>100</v>
      </c>
      <c r="K33" s="539"/>
      <c r="L33" s="2492"/>
      <c r="M33" s="2494"/>
      <c r="N33" s="2494"/>
      <c r="O33" s="2494"/>
      <c r="P33" s="3364"/>
      <c r="Q33" s="531" t="str">
        <f t="shared" si="11"/>
        <v>项目建筑规模</v>
      </c>
      <c r="R33" s="669" t="s">
        <v>14</v>
      </c>
      <c r="S33" s="670">
        <f t="shared" si="12"/>
        <v>100</v>
      </c>
      <c r="T33" s="669" t="s">
        <v>14</v>
      </c>
      <c r="U33" s="670">
        <f t="shared" si="13"/>
        <v>100</v>
      </c>
      <c r="V33" s="669" t="s">
        <v>14</v>
      </c>
      <c r="W33" s="670">
        <f t="shared" si="14"/>
        <v>100</v>
      </c>
      <c r="X33" s="671"/>
      <c r="Y33" s="3366"/>
      <c r="Z33" s="672" t="str">
        <f t="shared" si="15"/>
        <v>项目建筑规模</v>
      </c>
      <c r="AA33" s="1264">
        <f t="shared" si="3"/>
        <v>1</v>
      </c>
      <c r="AB33" s="1264">
        <f t="shared" si="4"/>
        <v>1</v>
      </c>
      <c r="AC33" s="1264">
        <f t="shared" si="5"/>
        <v>1</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64"/>
      <c r="Q34" s="1263" t="str">
        <f t="shared" si="11"/>
        <v>建筑结构</v>
      </c>
      <c r="R34" s="667" t="s">
        <v>14</v>
      </c>
      <c r="S34" s="668">
        <f t="shared" si="12"/>
        <v>100</v>
      </c>
      <c r="T34" s="667" t="s">
        <v>14</v>
      </c>
      <c r="U34" s="668">
        <f t="shared" si="13"/>
        <v>100</v>
      </c>
      <c r="V34" s="667" t="s">
        <v>14</v>
      </c>
      <c r="W34" s="668">
        <f t="shared" si="14"/>
        <v>100</v>
      </c>
      <c r="X34" s="1265"/>
      <c r="Y34" s="336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64"/>
      <c r="Q35" s="1263" t="str">
        <f t="shared" si="11"/>
        <v>公共部分装修</v>
      </c>
      <c r="R35" s="667" t="s">
        <v>14</v>
      </c>
      <c r="S35" s="668">
        <f t="shared" si="12"/>
        <v>100</v>
      </c>
      <c r="T35" s="667" t="s">
        <v>14</v>
      </c>
      <c r="U35" s="668">
        <f t="shared" si="13"/>
        <v>100</v>
      </c>
      <c r="V35" s="667" t="s">
        <v>14</v>
      </c>
      <c r="W35" s="668">
        <f t="shared" si="14"/>
        <v>100</v>
      </c>
      <c r="X35" s="1265"/>
      <c r="Y35" s="3366"/>
      <c r="Z35" s="1264" t="str">
        <f t="shared" si="15"/>
        <v>公共部分装修</v>
      </c>
      <c r="AA35" s="1264">
        <f t="shared" si="3"/>
        <v>1</v>
      </c>
      <c r="AB35" s="1264">
        <f t="shared" si="4"/>
        <v>1</v>
      </c>
      <c r="AC35" s="1264">
        <f t="shared" si="5"/>
        <v>1</v>
      </c>
    </row>
    <row r="36" spans="1:29" ht="15">
      <c r="A36" s="409"/>
      <c r="B36" s="364" t="s">
        <v>1786</v>
      </c>
      <c r="C36" s="411">
        <v>1</v>
      </c>
      <c r="D36" s="374">
        <v>100</v>
      </c>
      <c r="E36" s="411">
        <v>1</v>
      </c>
      <c r="F36" s="400">
        <f>LOOKUP(E36,110:110,111:111)-LOOKUP(C36,110:110,111:111)+100</f>
        <v>100</v>
      </c>
      <c r="G36" s="411">
        <v>1</v>
      </c>
      <c r="H36" s="400">
        <f>LOOKUP(G36,110:110,111:111)-LOOKUP(C36,110:110,111:111)+100</f>
        <v>100</v>
      </c>
      <c r="I36" s="411">
        <v>1</v>
      </c>
      <c r="J36" s="374">
        <f>LOOKUP(I36,110:110,111:111)-LOOKUP(C36,110:110,111:111)+100</f>
        <v>100</v>
      </c>
      <c r="K36" s="538"/>
      <c r="L36" s="2493"/>
      <c r="M36" s="2488"/>
      <c r="N36" s="2488"/>
      <c r="O36" s="2488"/>
      <c r="P36" s="3364"/>
      <c r="Q36" s="1263" t="str">
        <f t="shared" si="11"/>
        <v>成新度</v>
      </c>
      <c r="R36" s="667" t="s">
        <v>14</v>
      </c>
      <c r="S36" s="668">
        <f t="shared" si="12"/>
        <v>100</v>
      </c>
      <c r="T36" s="667" t="s">
        <v>14</v>
      </c>
      <c r="U36" s="668">
        <f t="shared" si="13"/>
        <v>100</v>
      </c>
      <c r="V36" s="667" t="s">
        <v>14</v>
      </c>
      <c r="W36" s="668">
        <f t="shared" si="14"/>
        <v>100</v>
      </c>
      <c r="X36" s="1265"/>
      <c r="Y36" s="3366"/>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64"/>
      <c r="Q37" s="530" t="str">
        <f t="shared" si="11"/>
        <v>市政基础设施</v>
      </c>
      <c r="R37" s="664" t="s">
        <v>14</v>
      </c>
      <c r="S37" s="665">
        <f t="shared" si="12"/>
        <v>100</v>
      </c>
      <c r="T37" s="664" t="s">
        <v>14</v>
      </c>
      <c r="U37" s="665">
        <f t="shared" si="13"/>
        <v>100</v>
      </c>
      <c r="V37" s="664" t="s">
        <v>14</v>
      </c>
      <c r="W37" s="665">
        <f t="shared" si="14"/>
        <v>100</v>
      </c>
      <c r="X37" s="666"/>
      <c r="Y37" s="336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64" t="s">
        <v>1696</v>
      </c>
      <c r="Q38" s="1263" t="str">
        <f t="shared" si="11"/>
        <v>业态</v>
      </c>
      <c r="R38" s="667" t="s">
        <v>14</v>
      </c>
      <c r="S38" s="668">
        <f t="shared" si="12"/>
        <v>100</v>
      </c>
      <c r="T38" s="667" t="s">
        <v>14</v>
      </c>
      <c r="U38" s="668">
        <f t="shared" si="13"/>
        <v>100</v>
      </c>
      <c r="V38" s="667" t="s">
        <v>14</v>
      </c>
      <c r="W38" s="668">
        <f t="shared" si="14"/>
        <v>100</v>
      </c>
      <c r="X38" s="1265"/>
      <c r="Y38" s="336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64"/>
      <c r="Q39" s="1263" t="str">
        <f t="shared" si="11"/>
        <v>层高</v>
      </c>
      <c r="R39" s="667" t="s">
        <v>14</v>
      </c>
      <c r="S39" s="668">
        <f t="shared" si="12"/>
        <v>100</v>
      </c>
      <c r="T39" s="667" t="s">
        <v>14</v>
      </c>
      <c r="U39" s="668">
        <f t="shared" si="13"/>
        <v>100</v>
      </c>
      <c r="V39" s="667" t="s">
        <v>14</v>
      </c>
      <c r="W39" s="668">
        <f t="shared" si="14"/>
        <v>100</v>
      </c>
      <c r="X39" s="1265"/>
      <c r="Y39" s="336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64"/>
      <c r="Q40" s="1263" t="str">
        <f t="shared" si="11"/>
        <v>单套建筑面积</v>
      </c>
      <c r="R40" s="667" t="s">
        <v>14</v>
      </c>
      <c r="S40" s="668">
        <f t="shared" si="12"/>
        <v>100</v>
      </c>
      <c r="T40" s="667" t="s">
        <v>14</v>
      </c>
      <c r="U40" s="668">
        <f t="shared" si="13"/>
        <v>100</v>
      </c>
      <c r="V40" s="667" t="s">
        <v>14</v>
      </c>
      <c r="W40" s="668">
        <f t="shared" si="14"/>
        <v>100</v>
      </c>
      <c r="X40" s="1265"/>
      <c r="Y40" s="336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64"/>
      <c r="Q41" s="531" t="str">
        <f t="shared" si="11"/>
        <v>进深比</v>
      </c>
      <c r="R41" s="669" t="s">
        <v>14</v>
      </c>
      <c r="S41" s="670">
        <f t="shared" si="12"/>
        <v>100</v>
      </c>
      <c r="T41" s="669" t="s">
        <v>14</v>
      </c>
      <c r="U41" s="670">
        <f t="shared" si="13"/>
        <v>100</v>
      </c>
      <c r="V41" s="669" t="s">
        <v>14</v>
      </c>
      <c r="W41" s="670">
        <f t="shared" si="14"/>
        <v>100</v>
      </c>
      <c r="X41" s="671"/>
      <c r="Y41" s="336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64"/>
      <c r="Q42" s="1263" t="str">
        <f t="shared" si="11"/>
        <v>内部装修</v>
      </c>
      <c r="R42" s="667" t="s">
        <v>14</v>
      </c>
      <c r="S42" s="668">
        <f t="shared" si="12"/>
        <v>100</v>
      </c>
      <c r="T42" s="667" t="s">
        <v>14</v>
      </c>
      <c r="U42" s="668">
        <f t="shared" si="13"/>
        <v>100</v>
      </c>
      <c r="V42" s="667" t="s">
        <v>14</v>
      </c>
      <c r="W42" s="668">
        <f t="shared" si="14"/>
        <v>100</v>
      </c>
      <c r="X42" s="1265"/>
      <c r="Y42" s="336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64"/>
      <c r="Q43" s="1263" t="str">
        <f t="shared" si="11"/>
        <v>内部装修维护情况</v>
      </c>
      <c r="R43" s="667" t="s">
        <v>14</v>
      </c>
      <c r="S43" s="668">
        <f t="shared" si="12"/>
        <v>100</v>
      </c>
      <c r="T43" s="667" t="s">
        <v>14</v>
      </c>
      <c r="U43" s="668">
        <f t="shared" si="13"/>
        <v>100</v>
      </c>
      <c r="V43" s="667" t="s">
        <v>14</v>
      </c>
      <c r="W43" s="668">
        <f t="shared" si="14"/>
        <v>100</v>
      </c>
      <c r="X43" s="1265"/>
      <c r="Y43" s="336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64"/>
      <c r="Q44" s="530">
        <f t="shared" si="11"/>
        <v>111</v>
      </c>
      <c r="R44" s="664" t="s">
        <v>14</v>
      </c>
      <c r="S44" s="665">
        <f t="shared" si="12"/>
        <v>100</v>
      </c>
      <c r="T44" s="664" t="s">
        <v>14</v>
      </c>
      <c r="U44" s="665">
        <f t="shared" si="13"/>
        <v>100</v>
      </c>
      <c r="V44" s="664" t="s">
        <v>14</v>
      </c>
      <c r="W44" s="665">
        <f t="shared" si="14"/>
        <v>100</v>
      </c>
      <c r="X44" s="666"/>
      <c r="Y44" s="336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64"/>
      <c r="Q45" s="1263">
        <f t="shared" si="11"/>
        <v>111</v>
      </c>
      <c r="R45" s="667" t="s">
        <v>14</v>
      </c>
      <c r="S45" s="668">
        <f t="shared" si="12"/>
        <v>100</v>
      </c>
      <c r="T45" s="667" t="s">
        <v>14</v>
      </c>
      <c r="U45" s="668">
        <f t="shared" si="13"/>
        <v>100</v>
      </c>
      <c r="V45" s="667" t="s">
        <v>14</v>
      </c>
      <c r="W45" s="668">
        <f t="shared" si="14"/>
        <v>100</v>
      </c>
      <c r="X45" s="1265"/>
      <c r="Y45" s="336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65"/>
      <c r="Q46" s="1263">
        <f t="shared" si="11"/>
        <v>111</v>
      </c>
      <c r="R46" s="667" t="s">
        <v>14</v>
      </c>
      <c r="S46" s="668">
        <f t="shared" si="12"/>
        <v>100</v>
      </c>
      <c r="T46" s="667" t="s">
        <v>14</v>
      </c>
      <c r="U46" s="668">
        <f t="shared" si="13"/>
        <v>100</v>
      </c>
      <c r="V46" s="667" t="s">
        <v>14</v>
      </c>
      <c r="W46" s="668">
        <f t="shared" si="14"/>
        <v>100</v>
      </c>
      <c r="X46" s="1265"/>
      <c r="Y46" s="3367"/>
      <c r="Z46" s="1264">
        <f t="shared" si="15"/>
        <v>111</v>
      </c>
      <c r="AA46" s="1264">
        <f t="shared" si="3"/>
        <v>1</v>
      </c>
      <c r="AB46" s="1264">
        <f t="shared" si="4"/>
        <v>1</v>
      </c>
      <c r="AC46" s="1264">
        <f t="shared" si="5"/>
        <v>1</v>
      </c>
    </row>
    <row r="47" spans="1:29" ht="15">
      <c r="A47" s="416" t="s">
        <v>1708</v>
      </c>
      <c r="B47" s="417"/>
      <c r="C47" s="1081" t="s">
        <v>0</v>
      </c>
      <c r="D47" s="418"/>
      <c r="E47" s="419">
        <v>35000</v>
      </c>
      <c r="F47" s="420"/>
      <c r="G47" s="421">
        <v>35000</v>
      </c>
      <c r="H47" s="422"/>
      <c r="I47" s="419">
        <v>35000</v>
      </c>
      <c r="J47" s="422"/>
      <c r="K47" s="674"/>
      <c r="L47" s="2495"/>
      <c r="M47" s="2488"/>
      <c r="N47" s="2488"/>
      <c r="O47" s="2488"/>
      <c r="P47" s="3359" t="str">
        <f>A47</f>
        <v>成交单价（元/平方米）</v>
      </c>
      <c r="Q47" s="3359"/>
      <c r="R47" s="3360">
        <f>E47</f>
        <v>35000</v>
      </c>
      <c r="S47" s="3360"/>
      <c r="T47" s="3360">
        <f>G47</f>
        <v>35000</v>
      </c>
      <c r="U47" s="3360"/>
      <c r="V47" s="3360">
        <f>I47</f>
        <v>35000</v>
      </c>
      <c r="W47" s="3360"/>
      <c r="X47" s="385"/>
      <c r="Y47" s="673"/>
      <c r="Z47" s="385"/>
      <c r="AA47" s="385"/>
      <c r="AB47" s="385"/>
      <c r="AC47" s="385"/>
    </row>
    <row r="48" spans="1:29" ht="15.75" thickBot="1">
      <c r="A48" s="423" t="s">
        <v>1793</v>
      </c>
      <c r="B48" s="424"/>
      <c r="C48" s="1082">
        <f>R49</f>
        <v>35000</v>
      </c>
      <c r="D48" s="2141" t="s">
        <v>2137</v>
      </c>
      <c r="E48" s="1083">
        <f>R48</f>
        <v>35000</v>
      </c>
      <c r="F48" s="2142"/>
      <c r="G48" s="1082">
        <f>T48</f>
        <v>35000</v>
      </c>
      <c r="H48" s="2142"/>
      <c r="I48" s="1083">
        <f>V48</f>
        <v>35000</v>
      </c>
      <c r="J48" s="2142"/>
      <c r="K48" s="2144">
        <f>F48+H48+J48</f>
        <v>0</v>
      </c>
      <c r="L48" s="2495"/>
      <c r="M48" s="2488"/>
      <c r="N48" s="2488"/>
      <c r="O48" s="2488"/>
      <c r="P48" s="3359" t="str">
        <f>A48</f>
        <v>比较价值（元/平方米）</v>
      </c>
      <c r="Q48" s="3359"/>
      <c r="R48" s="3360">
        <f>IF(F1="售价",ROUND(PRODUCT(R47,AA7:AA46),0),ROUND(PRODUCT(R47,AA7:AA46),1))</f>
        <v>35000</v>
      </c>
      <c r="S48" s="3360"/>
      <c r="T48" s="3360">
        <f>IF(F1="售价",ROUND(PRODUCT(T47,AB7:AB46),0),ROUND(PRODUCT(T47,AB7:AB46),1))</f>
        <v>35000</v>
      </c>
      <c r="U48" s="3360"/>
      <c r="V48" s="3360">
        <f>IF(F1="售价",ROUND(PRODUCT(V47,AC7:AC46),0),ROUND(PRODUCT(V47,AC7:AC46),1))</f>
        <v>35000</v>
      </c>
      <c r="W48" s="3360"/>
      <c r="X48" s="385"/>
      <c r="Y48" s="385"/>
      <c r="Z48" s="385"/>
      <c r="AA48" s="385"/>
      <c r="AB48" s="385"/>
      <c r="AC48" s="385"/>
    </row>
    <row r="49" spans="1:29" ht="15.75" thickBot="1">
      <c r="A49" s="427" t="s">
        <v>1794</v>
      </c>
      <c r="B49" s="428"/>
      <c r="C49" s="351">
        <f>R49</f>
        <v>35000</v>
      </c>
      <c r="D49" s="351"/>
      <c r="E49" s="351"/>
      <c r="F49" s="351"/>
      <c r="G49" s="351"/>
      <c r="H49" s="351"/>
      <c r="I49" s="351"/>
      <c r="J49" s="351"/>
      <c r="K49" s="675"/>
      <c r="L49" s="2495"/>
      <c r="M49" s="2488"/>
      <c r="N49" s="2488"/>
      <c r="O49" s="2488"/>
      <c r="P49" s="3356" t="str">
        <f>A49</f>
        <v>估价对象XX用房的比较价值（楼面单价，元/平方米）</v>
      </c>
      <c r="Q49" s="3357"/>
      <c r="R49" s="3358">
        <f>IF(F1="售价",ROUND(IF(D48="简单平均",AVERAGE(R48:V48),R48*F48+T48*H48+V48*J48),0),ROUND(IF(D48="简单平均",AVERAGE(R48:V48),R48*F48+T48*H48+V48*J48),1))</f>
        <v>35000</v>
      </c>
      <c r="S49" s="3358"/>
      <c r="T49" s="3358"/>
      <c r="U49" s="3358"/>
      <c r="V49" s="3358"/>
      <c r="W49" s="335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0</v>
      </c>
      <c r="F52" s="435" t="str">
        <f>IF(OR(E52&gt;=0.3,E52&lt;=-0.3),"超过30%","")</f>
        <v/>
      </c>
      <c r="G52" s="434">
        <f>IF(G47&lt;G48,G48/G47-1,G47/G48-1)</f>
        <v>0</v>
      </c>
      <c r="H52" s="435" t="str">
        <f>IF(OR(G52&gt;=0.3,G52&lt;=-0.3),"超过30%","")</f>
        <v/>
      </c>
      <c r="I52" s="434">
        <f>IF(I47&lt;I48,I48/I47-1,I47/I48-1)</f>
        <v>0</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v>
      </c>
      <c r="F53" s="435" t="str">
        <f>IF(OR(E53&gt;=0.2,E53&lt;=-0.2),"超过20%","")</f>
        <v/>
      </c>
      <c r="G53" s="434">
        <f>IF(G48&lt;I48,I48/G48-1,G48/I48-1)</f>
        <v>0</v>
      </c>
      <c r="H53" s="435" t="str">
        <f>IF(OR(G53&gt;=0.2,G53&lt;=-0.2),"超过20%","")</f>
        <v/>
      </c>
      <c r="I53" s="434">
        <f>IF(I48&lt;E48,E48/I48-1,I48/E48-1)</f>
        <v>0</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0</v>
      </c>
      <c r="F54" s="435" t="str">
        <f>IF(OR(E54&gt;=0.3,E54&lt;=-0.3),"超过30%","")</f>
        <v/>
      </c>
      <c r="G54" s="434">
        <f>IF(G47&lt;I47,I47/G47-1,G47/I47-1)</f>
        <v>0</v>
      </c>
      <c r="H54" s="435" t="str">
        <f>IF(OR(G54&gt;=0.3,G54&lt;=-0.3),"超过30%","")</f>
        <v/>
      </c>
      <c r="I54" s="434">
        <f>IF(I47&lt;E47,E47/I47-1,I47/E47-1)</f>
        <v>0</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3905.76</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407" t="s">
        <v>1775</v>
      </c>
      <c r="Q4" s="3408"/>
      <c r="R4" s="3411" t="s">
        <v>1771</v>
      </c>
      <c r="S4" s="3412"/>
      <c r="T4" s="3411" t="s">
        <v>1772</v>
      </c>
      <c r="U4" s="3412"/>
      <c r="V4" s="3413" t="s">
        <v>1773</v>
      </c>
      <c r="W4" s="3413"/>
      <c r="X4" s="1809"/>
      <c r="Y4" s="3411" t="s">
        <v>1775</v>
      </c>
      <c r="Z4" s="3412"/>
      <c r="AA4" s="3415" t="s">
        <v>1771</v>
      </c>
      <c r="AB4" s="3415" t="s">
        <v>1772</v>
      </c>
      <c r="AC4" s="3404" t="s">
        <v>1773</v>
      </c>
    </row>
    <row r="5" spans="1:29" ht="15">
      <c r="A5" s="348"/>
      <c r="B5" s="349"/>
      <c r="C5" s="3392" t="s">
        <v>1673</v>
      </c>
      <c r="D5" s="3393"/>
      <c r="E5" s="3399" t="s">
        <v>1674</v>
      </c>
      <c r="F5" s="3400"/>
      <c r="G5" s="3392" t="s">
        <v>1675</v>
      </c>
      <c r="H5" s="3393"/>
      <c r="I5" s="3392" t="s">
        <v>1676</v>
      </c>
      <c r="J5" s="3393"/>
      <c r="K5" s="537"/>
      <c r="L5" s="2487"/>
      <c r="M5" s="2488"/>
      <c r="N5" s="2488"/>
      <c r="O5" s="2488"/>
      <c r="P5" s="3409"/>
      <c r="Q5" s="3381"/>
      <c r="R5" s="3386"/>
      <c r="S5" s="3387"/>
      <c r="T5" s="3386"/>
      <c r="U5" s="3387"/>
      <c r="V5" s="3360"/>
      <c r="W5" s="3360"/>
      <c r="X5" s="1265"/>
      <c r="Y5" s="3386"/>
      <c r="Z5" s="3387"/>
      <c r="AA5" s="3372"/>
      <c r="AB5" s="3372"/>
      <c r="AC5" s="3405"/>
    </row>
    <row r="6" spans="1:29" ht="15.75" thickBot="1">
      <c r="A6" s="350"/>
      <c r="B6" s="351"/>
      <c r="C6" s="3390" t="s">
        <v>1677</v>
      </c>
      <c r="D6" s="3391"/>
      <c r="E6" s="3397" t="s">
        <v>1677</v>
      </c>
      <c r="F6" s="3398"/>
      <c r="G6" s="3390" t="s">
        <v>1677</v>
      </c>
      <c r="H6" s="3391"/>
      <c r="I6" s="3390" t="s">
        <v>1677</v>
      </c>
      <c r="J6" s="3391"/>
      <c r="K6" s="537" t="s">
        <v>1678</v>
      </c>
      <c r="L6" s="2487"/>
      <c r="M6" s="2488"/>
      <c r="N6" s="2488"/>
      <c r="O6" s="2488"/>
      <c r="P6" s="3410"/>
      <c r="Q6" s="3383"/>
      <c r="R6" s="3386"/>
      <c r="S6" s="3387"/>
      <c r="T6" s="3388"/>
      <c r="U6" s="3389"/>
      <c r="V6" s="3360"/>
      <c r="W6" s="3360"/>
      <c r="X6" s="1265"/>
      <c r="Y6" s="3388"/>
      <c r="Z6" s="3389"/>
      <c r="AA6" s="3373"/>
      <c r="AB6" s="3373"/>
      <c r="AC6" s="3406"/>
    </row>
    <row r="7" spans="1:29" s="102" customFormat="1" ht="15.75" thickBot="1">
      <c r="A7" s="352" t="s">
        <v>1679</v>
      </c>
      <c r="B7" s="353"/>
      <c r="C7" s="354">
        <f>'数据-取费表'!B2</f>
        <v>45629</v>
      </c>
      <c r="D7" s="355">
        <v>100</v>
      </c>
      <c r="E7" s="356"/>
      <c r="F7" s="357">
        <f>SUMIF(59:59,YEAR(E7)&amp;"-"&amp;MONTH(E7),60:60)</f>
        <v>0</v>
      </c>
      <c r="G7" s="356"/>
      <c r="H7" s="355">
        <f>SUMIF(59:59,YEAR(G7)&amp;"-"&amp;MONTH(G7),60:60)</f>
        <v>0</v>
      </c>
      <c r="I7" s="356"/>
      <c r="J7" s="355">
        <f>SUMIF(59:59,YEAR(I7)&amp;"-"&amp;MONTH(I7),60:60)</f>
        <v>0</v>
      </c>
      <c r="K7" s="38"/>
      <c r="L7" s="2489"/>
      <c r="M7" s="2440"/>
      <c r="N7" s="2440"/>
      <c r="O7" s="2440"/>
      <c r="P7" s="341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14" t="s">
        <v>1683</v>
      </c>
      <c r="Q8" s="3395"/>
      <c r="R8" s="664" t="s">
        <v>14</v>
      </c>
      <c r="S8" s="665">
        <f t="shared" si="0"/>
        <v>100</v>
      </c>
      <c r="T8" s="664" t="s">
        <v>14</v>
      </c>
      <c r="U8" s="665">
        <f t="shared" si="1"/>
        <v>100</v>
      </c>
      <c r="V8" s="664" t="s">
        <v>14</v>
      </c>
      <c r="W8" s="665">
        <f t="shared" si="2"/>
        <v>100</v>
      </c>
      <c r="X8" s="666"/>
      <c r="Y8" s="3394" t="s">
        <v>1683</v>
      </c>
      <c r="Z8" s="339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0"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0"/>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0"/>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0"/>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0"/>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0"/>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802">
        <f t="shared" si="5"/>
        <v>1</v>
      </c>
    </row>
    <row r="15" spans="1:29" ht="71.2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68" t="s">
        <v>1691</v>
      </c>
      <c r="Q15" s="1263" t="str">
        <f t="shared" si="6"/>
        <v>办公集聚程度</v>
      </c>
      <c r="R15" s="667" t="s">
        <v>14</v>
      </c>
      <c r="S15" s="668">
        <f t="shared" si="0"/>
        <v>100</v>
      </c>
      <c r="T15" s="667" t="s">
        <v>14</v>
      </c>
      <c r="U15" s="668">
        <f t="shared" si="1"/>
        <v>100</v>
      </c>
      <c r="V15" s="667" t="s">
        <v>14</v>
      </c>
      <c r="W15" s="668">
        <f t="shared" si="2"/>
        <v>100</v>
      </c>
      <c r="X15" s="1265"/>
      <c r="Y15" s="336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69"/>
      <c r="Q16" s="1263"/>
      <c r="R16" s="667"/>
      <c r="S16" s="668"/>
      <c r="T16" s="667"/>
      <c r="U16" s="668"/>
      <c r="V16" s="667"/>
      <c r="W16" s="668"/>
      <c r="X16" s="1265"/>
      <c r="Y16" s="3362"/>
      <c r="Z16" s="1264"/>
      <c r="AA16" s="1264">
        <v>1</v>
      </c>
      <c r="AB16" s="1264">
        <v>1</v>
      </c>
      <c r="AC16" s="1812">
        <v>1</v>
      </c>
    </row>
    <row r="17" spans="1:29" ht="71.2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69"/>
      <c r="Q17" s="1263" t="str">
        <f>B17</f>
        <v>交通便捷度</v>
      </c>
      <c r="R17" s="667" t="s">
        <v>14</v>
      </c>
      <c r="S17" s="668">
        <f>F17</f>
        <v>100</v>
      </c>
      <c r="T17" s="667" t="s">
        <v>14</v>
      </c>
      <c r="U17" s="668">
        <f>H17</f>
        <v>100</v>
      </c>
      <c r="V17" s="667" t="s">
        <v>14</v>
      </c>
      <c r="W17" s="668">
        <f>J17</f>
        <v>100</v>
      </c>
      <c r="X17" s="1265"/>
      <c r="Y17" s="336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69"/>
      <c r="Q18" s="1263"/>
      <c r="R18" s="667"/>
      <c r="S18" s="668"/>
      <c r="T18" s="667"/>
      <c r="U18" s="668"/>
      <c r="V18" s="667"/>
      <c r="W18" s="668"/>
      <c r="X18" s="1265"/>
      <c r="Y18" s="3362"/>
      <c r="Z18" s="1264"/>
      <c r="AA18" s="1264">
        <v>1</v>
      </c>
      <c r="AB18" s="1264">
        <v>1</v>
      </c>
      <c r="AC18" s="1812">
        <v>1</v>
      </c>
    </row>
    <row r="19" spans="1:29" ht="42.7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69"/>
      <c r="Q19" s="1263" t="str">
        <f>B19</f>
        <v>公共配套设施</v>
      </c>
      <c r="R19" s="667" t="s">
        <v>14</v>
      </c>
      <c r="S19" s="668">
        <f>F19</f>
        <v>100</v>
      </c>
      <c r="T19" s="667" t="s">
        <v>14</v>
      </c>
      <c r="U19" s="668">
        <f>H19</f>
        <v>100</v>
      </c>
      <c r="V19" s="667" t="s">
        <v>14</v>
      </c>
      <c r="W19" s="668">
        <f>J19</f>
        <v>100</v>
      </c>
      <c r="X19" s="1265"/>
      <c r="Y19" s="336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69"/>
      <c r="Q20" s="1263"/>
      <c r="R20" s="667"/>
      <c r="S20" s="668"/>
      <c r="T20" s="667"/>
      <c r="U20" s="668"/>
      <c r="V20" s="667"/>
      <c r="W20" s="668"/>
      <c r="X20" s="1265"/>
      <c r="Y20" s="3362"/>
      <c r="Z20" s="1264"/>
      <c r="AA20" s="1264">
        <v>1</v>
      </c>
      <c r="AB20" s="1264">
        <v>1</v>
      </c>
      <c r="AC20" s="1812">
        <v>1</v>
      </c>
    </row>
    <row r="21" spans="1:29" ht="28.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69"/>
      <c r="Q21" s="1263" t="str">
        <f>B21</f>
        <v>基础设施水平</v>
      </c>
      <c r="R21" s="667" t="s">
        <v>14</v>
      </c>
      <c r="S21" s="668">
        <f>F21</f>
        <v>100</v>
      </c>
      <c r="T21" s="667" t="s">
        <v>14</v>
      </c>
      <c r="U21" s="668">
        <f>H21</f>
        <v>100</v>
      </c>
      <c r="V21" s="667" t="s">
        <v>14</v>
      </c>
      <c r="W21" s="668">
        <f>J21</f>
        <v>100</v>
      </c>
      <c r="X21" s="1265"/>
      <c r="Y21" s="336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69"/>
      <c r="Q22" s="1263"/>
      <c r="R22" s="667"/>
      <c r="S22" s="668"/>
      <c r="T22" s="667"/>
      <c r="U22" s="668"/>
      <c r="V22" s="667"/>
      <c r="W22" s="668"/>
      <c r="X22" s="1265"/>
      <c r="Y22" s="3362"/>
      <c r="Z22" s="1264"/>
      <c r="AA22" s="1264">
        <v>1</v>
      </c>
      <c r="AB22" s="1264">
        <v>1</v>
      </c>
      <c r="AC22" s="1812">
        <v>1</v>
      </c>
    </row>
    <row r="23" spans="1:29" ht="42.7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69"/>
      <c r="Q23" s="1263" t="str">
        <f>B23</f>
        <v>环境质量</v>
      </c>
      <c r="R23" s="667" t="s">
        <v>14</v>
      </c>
      <c r="S23" s="668">
        <f>F23</f>
        <v>100</v>
      </c>
      <c r="T23" s="667" t="s">
        <v>14</v>
      </c>
      <c r="U23" s="668">
        <f>H23</f>
        <v>100</v>
      </c>
      <c r="V23" s="667" t="s">
        <v>14</v>
      </c>
      <c r="W23" s="668">
        <f>J23</f>
        <v>100</v>
      </c>
      <c r="X23" s="1265"/>
      <c r="Y23" s="336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69"/>
      <c r="Q24" s="1263"/>
      <c r="R24" s="667"/>
      <c r="S24" s="668"/>
      <c r="T24" s="667"/>
      <c r="U24" s="668"/>
      <c r="V24" s="667"/>
      <c r="W24" s="668"/>
      <c r="X24" s="1265"/>
      <c r="Y24" s="336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69"/>
      <c r="Q25" s="1263" t="str">
        <f>B25</f>
        <v>毗邻道路的类型与等级</v>
      </c>
      <c r="R25" s="667" t="s">
        <v>14</v>
      </c>
      <c r="S25" s="668">
        <f>F25</f>
        <v>100</v>
      </c>
      <c r="T25" s="667" t="s">
        <v>14</v>
      </c>
      <c r="U25" s="668">
        <f>H25</f>
        <v>100</v>
      </c>
      <c r="V25" s="667" t="s">
        <v>14</v>
      </c>
      <c r="W25" s="668">
        <f>J25</f>
        <v>100</v>
      </c>
      <c r="X25" s="1265"/>
      <c r="Y25" s="336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69"/>
      <c r="Q26" s="1263"/>
      <c r="R26" s="667"/>
      <c r="S26" s="668"/>
      <c r="T26" s="667"/>
      <c r="U26" s="668"/>
      <c r="V26" s="667"/>
      <c r="W26" s="668"/>
      <c r="X26" s="1265"/>
      <c r="Y26" s="336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69"/>
      <c r="Q27" s="1263" t="str">
        <f t="shared" ref="Q27:Q47" si="11">B27</f>
        <v>楼层</v>
      </c>
      <c r="R27" s="667" t="s">
        <v>14</v>
      </c>
      <c r="S27" s="668">
        <f>F27</f>
        <v>100</v>
      </c>
      <c r="T27" s="667" t="s">
        <v>14</v>
      </c>
      <c r="U27" s="668">
        <f>H27</f>
        <v>100</v>
      </c>
      <c r="V27" s="667" t="s">
        <v>14</v>
      </c>
      <c r="W27" s="668">
        <f>J27</f>
        <v>100</v>
      </c>
      <c r="X27" s="1265"/>
      <c r="Y27" s="336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69"/>
      <c r="Q28" s="530" t="str">
        <f t="shared" si="11"/>
        <v>朝向</v>
      </c>
      <c r="R28" s="664" t="s">
        <v>14</v>
      </c>
      <c r="S28" s="665">
        <f>F28</f>
        <v>100</v>
      </c>
      <c r="T28" s="664" t="s">
        <v>14</v>
      </c>
      <c r="U28" s="665">
        <f>H28</f>
        <v>100</v>
      </c>
      <c r="V28" s="664" t="s">
        <v>14</v>
      </c>
      <c r="W28" s="665">
        <f>J28</f>
        <v>100</v>
      </c>
      <c r="X28" s="666"/>
      <c r="Y28" s="336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69"/>
      <c r="Q29" s="1263">
        <f t="shared" si="11"/>
        <v>111</v>
      </c>
      <c r="R29" s="667" t="s">
        <v>14</v>
      </c>
      <c r="S29" s="668">
        <f t="shared" ref="S29:S47" si="12">F29</f>
        <v>100</v>
      </c>
      <c r="T29" s="667" t="s">
        <v>14</v>
      </c>
      <c r="U29" s="668">
        <f t="shared" ref="U29:U47" si="13">H29</f>
        <v>100</v>
      </c>
      <c r="V29" s="667" t="s">
        <v>14</v>
      </c>
      <c r="W29" s="668">
        <f t="shared" ref="W29:W47" si="14">J29</f>
        <v>100</v>
      </c>
      <c r="X29" s="1265"/>
      <c r="Y29" s="336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69"/>
      <c r="Q30" s="1263">
        <f t="shared" si="11"/>
        <v>111</v>
      </c>
      <c r="R30" s="667" t="s">
        <v>14</v>
      </c>
      <c r="S30" s="668">
        <f t="shared" si="12"/>
        <v>100</v>
      </c>
      <c r="T30" s="667" t="s">
        <v>14</v>
      </c>
      <c r="U30" s="668">
        <f t="shared" si="13"/>
        <v>100</v>
      </c>
      <c r="V30" s="667" t="s">
        <v>14</v>
      </c>
      <c r="W30" s="668">
        <f t="shared" si="14"/>
        <v>100</v>
      </c>
      <c r="X30" s="1265"/>
      <c r="Y30" s="336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69"/>
      <c r="Q31" s="1263">
        <f t="shared" si="11"/>
        <v>111</v>
      </c>
      <c r="R31" s="667" t="s">
        <v>14</v>
      </c>
      <c r="S31" s="668">
        <f t="shared" si="12"/>
        <v>100</v>
      </c>
      <c r="T31" s="667" t="s">
        <v>14</v>
      </c>
      <c r="U31" s="668">
        <f t="shared" si="13"/>
        <v>100</v>
      </c>
      <c r="V31" s="667" t="s">
        <v>14</v>
      </c>
      <c r="W31" s="668">
        <f t="shared" si="14"/>
        <v>100</v>
      </c>
      <c r="X31" s="1265"/>
      <c r="Y31" s="336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69"/>
      <c r="Q32" s="1263">
        <f t="shared" si="11"/>
        <v>111</v>
      </c>
      <c r="R32" s="667" t="s">
        <v>14</v>
      </c>
      <c r="S32" s="668">
        <f t="shared" si="12"/>
        <v>100</v>
      </c>
      <c r="T32" s="667" t="s">
        <v>14</v>
      </c>
      <c r="U32" s="668">
        <f t="shared" si="13"/>
        <v>100</v>
      </c>
      <c r="V32" s="667" t="s">
        <v>14</v>
      </c>
      <c r="W32" s="668">
        <f t="shared" si="14"/>
        <v>100</v>
      </c>
      <c r="X32" s="1265"/>
      <c r="Y32" s="336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63" t="s">
        <v>1696</v>
      </c>
      <c r="Q33" s="1263" t="str">
        <f t="shared" si="11"/>
        <v>建筑类型</v>
      </c>
      <c r="R33" s="667" t="s">
        <v>14</v>
      </c>
      <c r="S33" s="668">
        <f t="shared" si="12"/>
        <v>100</v>
      </c>
      <c r="T33" s="667" t="s">
        <v>14</v>
      </c>
      <c r="U33" s="668">
        <f t="shared" si="13"/>
        <v>100</v>
      </c>
      <c r="V33" s="667" t="s">
        <v>14</v>
      </c>
      <c r="W33" s="668">
        <f t="shared" si="14"/>
        <v>100</v>
      </c>
      <c r="X33" s="1265"/>
      <c r="Y33" s="336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64"/>
      <c r="Q34" s="531" t="str">
        <f t="shared" si="11"/>
        <v>项目建筑规模</v>
      </c>
      <c r="R34" s="669" t="s">
        <v>14</v>
      </c>
      <c r="S34" s="670" t="e">
        <f t="shared" si="12"/>
        <v>#N/A</v>
      </c>
      <c r="T34" s="669" t="s">
        <v>14</v>
      </c>
      <c r="U34" s="670" t="e">
        <f t="shared" si="13"/>
        <v>#N/A</v>
      </c>
      <c r="V34" s="669" t="s">
        <v>14</v>
      </c>
      <c r="W34" s="670" t="e">
        <f t="shared" si="14"/>
        <v>#N/A</v>
      </c>
      <c r="X34" s="671"/>
      <c r="Y34" s="336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64"/>
      <c r="Q35" s="1263" t="str">
        <f t="shared" si="11"/>
        <v>建筑结构</v>
      </c>
      <c r="R35" s="667" t="s">
        <v>14</v>
      </c>
      <c r="S35" s="668">
        <f t="shared" si="12"/>
        <v>100</v>
      </c>
      <c r="T35" s="667" t="s">
        <v>14</v>
      </c>
      <c r="U35" s="668">
        <f t="shared" si="13"/>
        <v>100</v>
      </c>
      <c r="V35" s="667" t="s">
        <v>14</v>
      </c>
      <c r="W35" s="668">
        <f t="shared" si="14"/>
        <v>100</v>
      </c>
      <c r="X35" s="1265"/>
      <c r="Y35" s="336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64"/>
      <c r="Q36" s="1263" t="str">
        <f t="shared" si="11"/>
        <v>公共部分装修</v>
      </c>
      <c r="R36" s="667" t="s">
        <v>14</v>
      </c>
      <c r="S36" s="668">
        <f t="shared" si="12"/>
        <v>100</v>
      </c>
      <c r="T36" s="667" t="s">
        <v>14</v>
      </c>
      <c r="U36" s="668">
        <f t="shared" si="13"/>
        <v>100</v>
      </c>
      <c r="V36" s="667" t="s">
        <v>14</v>
      </c>
      <c r="W36" s="668">
        <f t="shared" si="14"/>
        <v>100</v>
      </c>
      <c r="X36" s="1265"/>
      <c r="Y36" s="336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64"/>
      <c r="Q37" s="1263" t="str">
        <f t="shared" si="11"/>
        <v>成新度</v>
      </c>
      <c r="R37" s="667" t="s">
        <v>14</v>
      </c>
      <c r="S37" s="668" t="e">
        <f t="shared" si="12"/>
        <v>#N/A</v>
      </c>
      <c r="T37" s="667" t="s">
        <v>14</v>
      </c>
      <c r="U37" s="668" t="e">
        <f t="shared" si="13"/>
        <v>#N/A</v>
      </c>
      <c r="V37" s="667" t="s">
        <v>14</v>
      </c>
      <c r="W37" s="668" t="e">
        <f t="shared" si="14"/>
        <v>#N/A</v>
      </c>
      <c r="X37" s="1265"/>
      <c r="Y37" s="336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64"/>
      <c r="Q38" s="530" t="str">
        <f t="shared" si="11"/>
        <v>写字楼等级</v>
      </c>
      <c r="R38" s="664" t="s">
        <v>14</v>
      </c>
      <c r="S38" s="665">
        <f t="shared" si="12"/>
        <v>100</v>
      </c>
      <c r="T38" s="664" t="s">
        <v>14</v>
      </c>
      <c r="U38" s="665">
        <f t="shared" si="13"/>
        <v>100</v>
      </c>
      <c r="V38" s="664" t="s">
        <v>14</v>
      </c>
      <c r="W38" s="665">
        <f t="shared" si="14"/>
        <v>100</v>
      </c>
      <c r="X38" s="666"/>
      <c r="Y38" s="336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64" t="s">
        <v>1696</v>
      </c>
      <c r="Q39" s="1263" t="str">
        <f t="shared" si="11"/>
        <v>物业管理</v>
      </c>
      <c r="R39" s="667" t="s">
        <v>14</v>
      </c>
      <c r="S39" s="668">
        <f t="shared" si="12"/>
        <v>100</v>
      </c>
      <c r="T39" s="667" t="s">
        <v>14</v>
      </c>
      <c r="U39" s="668">
        <f t="shared" si="13"/>
        <v>100</v>
      </c>
      <c r="V39" s="667" t="s">
        <v>14</v>
      </c>
      <c r="W39" s="668">
        <f t="shared" si="14"/>
        <v>100</v>
      </c>
      <c r="X39" s="1265"/>
      <c r="Y39" s="336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64"/>
      <c r="Q40" s="1263" t="str">
        <f t="shared" si="11"/>
        <v>市政基础设施</v>
      </c>
      <c r="R40" s="667" t="s">
        <v>14</v>
      </c>
      <c r="S40" s="668">
        <f t="shared" si="12"/>
        <v>100</v>
      </c>
      <c r="T40" s="667" t="s">
        <v>14</v>
      </c>
      <c r="U40" s="668">
        <f t="shared" si="13"/>
        <v>100</v>
      </c>
      <c r="V40" s="667" t="s">
        <v>14</v>
      </c>
      <c r="W40" s="668">
        <f t="shared" si="14"/>
        <v>100</v>
      </c>
      <c r="X40" s="1265"/>
      <c r="Y40" s="336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64"/>
      <c r="Q41" s="1263" t="str">
        <f t="shared" si="11"/>
        <v>层高</v>
      </c>
      <c r="R41" s="667" t="s">
        <v>14</v>
      </c>
      <c r="S41" s="668">
        <f t="shared" si="12"/>
        <v>100</v>
      </c>
      <c r="T41" s="667" t="s">
        <v>14</v>
      </c>
      <c r="U41" s="668">
        <f t="shared" si="13"/>
        <v>100</v>
      </c>
      <c r="V41" s="667" t="s">
        <v>14</v>
      </c>
      <c r="W41" s="668">
        <f t="shared" si="14"/>
        <v>100</v>
      </c>
      <c r="X41" s="1265"/>
      <c r="Y41" s="336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64"/>
      <c r="Q42" s="531" t="str">
        <f t="shared" si="11"/>
        <v>单套建筑面积</v>
      </c>
      <c r="R42" s="669" t="s">
        <v>14</v>
      </c>
      <c r="S42" s="670">
        <f t="shared" si="12"/>
        <v>100</v>
      </c>
      <c r="T42" s="669" t="s">
        <v>14</v>
      </c>
      <c r="U42" s="670">
        <f t="shared" si="13"/>
        <v>100</v>
      </c>
      <c r="V42" s="669" t="s">
        <v>14</v>
      </c>
      <c r="W42" s="670">
        <f t="shared" si="14"/>
        <v>100</v>
      </c>
      <c r="X42" s="671"/>
      <c r="Y42" s="336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64"/>
      <c r="Q43" s="1263" t="str">
        <f t="shared" si="11"/>
        <v>内部装修</v>
      </c>
      <c r="R43" s="667" t="s">
        <v>14</v>
      </c>
      <c r="S43" s="668">
        <f t="shared" si="12"/>
        <v>100</v>
      </c>
      <c r="T43" s="667" t="s">
        <v>14</v>
      </c>
      <c r="U43" s="668">
        <f t="shared" si="13"/>
        <v>100</v>
      </c>
      <c r="V43" s="667" t="s">
        <v>14</v>
      </c>
      <c r="W43" s="668">
        <f t="shared" si="14"/>
        <v>100</v>
      </c>
      <c r="X43" s="1265"/>
      <c r="Y43" s="336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64"/>
      <c r="Q44" s="1263" t="str">
        <f t="shared" si="11"/>
        <v>内部装修维护情况</v>
      </c>
      <c r="R44" s="667" t="s">
        <v>14</v>
      </c>
      <c r="S44" s="668">
        <f t="shared" si="12"/>
        <v>100</v>
      </c>
      <c r="T44" s="667" t="s">
        <v>14</v>
      </c>
      <c r="U44" s="668">
        <f t="shared" si="13"/>
        <v>100</v>
      </c>
      <c r="V44" s="667" t="s">
        <v>14</v>
      </c>
      <c r="W44" s="668">
        <f t="shared" si="14"/>
        <v>100</v>
      </c>
      <c r="X44" s="1265"/>
      <c r="Y44" s="336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64"/>
      <c r="Q45" s="530">
        <f t="shared" si="11"/>
        <v>111</v>
      </c>
      <c r="R45" s="664" t="s">
        <v>14</v>
      </c>
      <c r="S45" s="665">
        <f t="shared" si="12"/>
        <v>100</v>
      </c>
      <c r="T45" s="664" t="s">
        <v>14</v>
      </c>
      <c r="U45" s="665">
        <f t="shared" si="13"/>
        <v>100</v>
      </c>
      <c r="V45" s="664" t="s">
        <v>14</v>
      </c>
      <c r="W45" s="665">
        <f t="shared" si="14"/>
        <v>100</v>
      </c>
      <c r="X45" s="666"/>
      <c r="Y45" s="336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64"/>
      <c r="Q46" s="1263">
        <f t="shared" si="11"/>
        <v>111</v>
      </c>
      <c r="R46" s="667" t="s">
        <v>14</v>
      </c>
      <c r="S46" s="668">
        <f t="shared" si="12"/>
        <v>100</v>
      </c>
      <c r="T46" s="667" t="s">
        <v>14</v>
      </c>
      <c r="U46" s="668">
        <f t="shared" si="13"/>
        <v>100</v>
      </c>
      <c r="V46" s="667" t="s">
        <v>14</v>
      </c>
      <c r="W46" s="668">
        <f t="shared" si="14"/>
        <v>100</v>
      </c>
      <c r="X46" s="1265"/>
      <c r="Y46" s="336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65"/>
      <c r="Q47" s="1263">
        <f t="shared" si="11"/>
        <v>111</v>
      </c>
      <c r="R47" s="667" t="s">
        <v>14</v>
      </c>
      <c r="S47" s="668">
        <f t="shared" si="12"/>
        <v>100</v>
      </c>
      <c r="T47" s="667" t="s">
        <v>14</v>
      </c>
      <c r="U47" s="668">
        <f t="shared" si="13"/>
        <v>100</v>
      </c>
      <c r="V47" s="667" t="s">
        <v>14</v>
      </c>
      <c r="W47" s="668">
        <f t="shared" si="14"/>
        <v>100</v>
      </c>
      <c r="X47" s="1265"/>
      <c r="Y47" s="336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0" t="str">
        <f>A48</f>
        <v>成交单价（元/平方米）</v>
      </c>
      <c r="Q48" s="3359"/>
      <c r="R48" s="3360">
        <f>E48</f>
        <v>0</v>
      </c>
      <c r="S48" s="3360"/>
      <c r="T48" s="3360">
        <f>G48</f>
        <v>0</v>
      </c>
      <c r="U48" s="3360"/>
      <c r="V48" s="3360">
        <f>I48</f>
        <v>0</v>
      </c>
      <c r="W48" s="3360"/>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70" t="str">
        <f>A49</f>
        <v>比较价值（元/平方米）</v>
      </c>
      <c r="Q49" s="3359"/>
      <c r="R49" s="3360" t="e">
        <f>IF(F1="售价",ROUND(PRODUCT(R48,AA7:AA47),0),ROUND(PRODUCT(R48,AA7:AA47),1))</f>
        <v>#DIV/0!</v>
      </c>
      <c r="S49" s="3360"/>
      <c r="T49" s="3360" t="e">
        <f>IF(F1="售价",ROUND(PRODUCT(T48,AB7:AB47),0),ROUND(PRODUCT(T48,AB7:AB47),1))</f>
        <v>#DIV/0!</v>
      </c>
      <c r="U49" s="3360"/>
      <c r="V49" s="3360" t="e">
        <f>IF(F1="售价",ROUND(PRODUCT(V48,AC7:AC47),0),ROUND(PRODUCT(V48,AC7:AC47),1))</f>
        <v>#DIV/0!</v>
      </c>
      <c r="W49" s="336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01" t="str">
        <f>A50</f>
        <v>估价对象XX用房的比较价值（楼面单价，元/平方米）</v>
      </c>
      <c r="Q50" s="3402"/>
      <c r="R50" s="3403" t="e">
        <f>IF(F1="售价",ROUND(IF(D49="简单平均",AVERAGE(R49:V49),R49*F49+T49*H49+V49*J49),0),ROUND(IF(D49="简单平均",AVERAGE(R49:V49),R49*F49+T49*H49+V49*J49),1))</f>
        <v>#DIV/0!</v>
      </c>
      <c r="S50" s="3403"/>
      <c r="T50" s="3403"/>
      <c r="U50" s="3403"/>
      <c r="V50" s="3403"/>
      <c r="W50" s="340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估价对象为北京市房地产，为所有。根据《国有土地使用证》[]，估价对象（分摊）出让国有建设用地使用权面积为2386.36平方米，建筑面积为3905.76平方米。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估价对象为北京市房地产,为开发建设的，该项目尚在开发建设中。根据《国有土地使用证》[]，估价对象（分摊）出让国有建设用地使用权面积为2386.36平方米，规划建筑面积为3905.76平方米。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2024年12月3日（评估专业人员实地查勘之日）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本次评估采用的主估价方法为基准地价系数修正法和收益法。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3905.76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860"/>
      <c r="M4" s="861"/>
      <c r="N4" s="861"/>
      <c r="O4" s="861"/>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ht="15">
      <c r="A5" s="348"/>
      <c r="B5" s="349"/>
      <c r="C5" s="3392" t="s">
        <v>1673</v>
      </c>
      <c r="D5" s="3393"/>
      <c r="E5" s="3399" t="s">
        <v>1674</v>
      </c>
      <c r="F5" s="3400"/>
      <c r="G5" s="3392" t="s">
        <v>1675</v>
      </c>
      <c r="H5" s="3393"/>
      <c r="I5" s="3392" t="s">
        <v>1676</v>
      </c>
      <c r="J5" s="3393"/>
      <c r="K5" s="537"/>
      <c r="L5" s="860"/>
      <c r="M5" s="861"/>
      <c r="N5" s="861"/>
      <c r="O5" s="861"/>
      <c r="P5" s="3380"/>
      <c r="Q5" s="3381"/>
      <c r="R5" s="3386"/>
      <c r="S5" s="3387"/>
      <c r="T5" s="3386"/>
      <c r="U5" s="3387"/>
      <c r="V5" s="3360"/>
      <c r="W5" s="3360"/>
      <c r="X5" s="1265"/>
      <c r="Y5" s="3386"/>
      <c r="Z5" s="3387"/>
      <c r="AA5" s="3372"/>
      <c r="AB5" s="3372"/>
      <c r="AC5" s="3372"/>
    </row>
    <row r="6" spans="1:29" ht="15.75" thickBot="1">
      <c r="A6" s="350"/>
      <c r="B6" s="351"/>
      <c r="C6" s="3390" t="s">
        <v>1677</v>
      </c>
      <c r="D6" s="3391"/>
      <c r="E6" s="3397" t="s">
        <v>1677</v>
      </c>
      <c r="F6" s="3398"/>
      <c r="G6" s="3390" t="s">
        <v>1677</v>
      </c>
      <c r="H6" s="3391"/>
      <c r="I6" s="3390" t="s">
        <v>1677</v>
      </c>
      <c r="J6" s="3391"/>
      <c r="K6" s="537" t="s">
        <v>1678</v>
      </c>
      <c r="L6" s="860"/>
      <c r="M6" s="861"/>
      <c r="N6" s="861"/>
      <c r="O6" s="861"/>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45629</v>
      </c>
      <c r="D7" s="355">
        <v>100</v>
      </c>
      <c r="E7" s="356"/>
      <c r="F7" s="357">
        <f>SUMIF(52:52,YEAR(E7)&amp;"-"&amp;MONTH(E7),53:53)</f>
        <v>0</v>
      </c>
      <c r="G7" s="356"/>
      <c r="H7" s="355">
        <f>SUMIF(52:52,YEAR(G7)&amp;"-"&amp;MONTH(G7),53:53)</f>
        <v>0</v>
      </c>
      <c r="I7" s="356"/>
      <c r="J7" s="355">
        <f>SUMIF(52:52,YEAR(I7)&amp;"-"&amp;MONTH(I7),53:53)</f>
        <v>0</v>
      </c>
      <c r="K7" s="38"/>
      <c r="L7" s="862"/>
      <c r="M7" s="863"/>
      <c r="N7" s="863"/>
      <c r="O7" s="863"/>
      <c r="P7" s="339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4" t="s">
        <v>1683</v>
      </c>
      <c r="Q8" s="3395"/>
      <c r="R8" s="664" t="s">
        <v>14</v>
      </c>
      <c r="S8" s="665">
        <f t="shared" si="0"/>
        <v>100</v>
      </c>
      <c r="T8" s="664" t="s">
        <v>14</v>
      </c>
      <c r="U8" s="665">
        <f t="shared" si="1"/>
        <v>100</v>
      </c>
      <c r="V8" s="664" t="s">
        <v>14</v>
      </c>
      <c r="W8" s="665">
        <f t="shared" si="2"/>
        <v>100</v>
      </c>
      <c r="X8" s="666"/>
      <c r="Y8" s="3394" t="s">
        <v>1683</v>
      </c>
      <c r="Z8" s="339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5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9"/>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9"/>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57">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1" t="s">
        <v>1691</v>
      </c>
      <c r="Q15" s="1263" t="str">
        <f t="shared" si="6"/>
        <v>产业集聚程度</v>
      </c>
      <c r="R15" s="667" t="s">
        <v>14</v>
      </c>
      <c r="S15" s="668">
        <f t="shared" si="0"/>
        <v>100</v>
      </c>
      <c r="T15" s="667" t="s">
        <v>14</v>
      </c>
      <c r="U15" s="668">
        <f t="shared" si="1"/>
        <v>100</v>
      </c>
      <c r="V15" s="667" t="s">
        <v>14</v>
      </c>
      <c r="W15" s="668">
        <f t="shared" si="2"/>
        <v>100</v>
      </c>
      <c r="X15" s="1265"/>
      <c r="Y15" s="336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2"/>
      <c r="Q16" s="1263"/>
      <c r="R16" s="667"/>
      <c r="S16" s="668"/>
      <c r="T16" s="667"/>
      <c r="U16" s="668"/>
      <c r="V16" s="667"/>
      <c r="W16" s="668"/>
      <c r="X16" s="1265"/>
      <c r="Y16" s="3362"/>
      <c r="Z16" s="1264"/>
      <c r="AA16" s="1264">
        <v>1</v>
      </c>
      <c r="AB16" s="1264">
        <v>1</v>
      </c>
      <c r="AC16" s="1264">
        <v>1</v>
      </c>
    </row>
    <row r="17" spans="1:29" ht="85.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2"/>
      <c r="Q17" s="1263" t="str">
        <f>B17</f>
        <v>交通便捷度</v>
      </c>
      <c r="R17" s="667" t="s">
        <v>14</v>
      </c>
      <c r="S17" s="668">
        <f>F17</f>
        <v>100</v>
      </c>
      <c r="T17" s="667" t="s">
        <v>14</v>
      </c>
      <c r="U17" s="668">
        <f>H17</f>
        <v>100</v>
      </c>
      <c r="V17" s="667" t="s">
        <v>14</v>
      </c>
      <c r="W17" s="668">
        <f>J17</f>
        <v>100</v>
      </c>
      <c r="X17" s="1265"/>
      <c r="Y17" s="336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2"/>
      <c r="Q18" s="1263"/>
      <c r="R18" s="667"/>
      <c r="S18" s="668"/>
      <c r="T18" s="667"/>
      <c r="U18" s="668"/>
      <c r="V18" s="667"/>
      <c r="W18" s="668"/>
      <c r="X18" s="1265"/>
      <c r="Y18" s="3362"/>
      <c r="Z18" s="1264"/>
      <c r="AA18" s="1264">
        <v>1</v>
      </c>
      <c r="AB18" s="1264">
        <v>1</v>
      </c>
      <c r="AC18" s="1264">
        <v>1</v>
      </c>
    </row>
    <row r="19" spans="1:29" ht="42.7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2"/>
      <c r="Q19" s="1263" t="str">
        <f>B19</f>
        <v>公共配套设施</v>
      </c>
      <c r="R19" s="667" t="s">
        <v>14</v>
      </c>
      <c r="S19" s="668">
        <f>F19</f>
        <v>100</v>
      </c>
      <c r="T19" s="667" t="s">
        <v>14</v>
      </c>
      <c r="U19" s="668">
        <f>H19</f>
        <v>100</v>
      </c>
      <c r="V19" s="667" t="s">
        <v>14</v>
      </c>
      <c r="W19" s="668">
        <f>J19</f>
        <v>100</v>
      </c>
      <c r="X19" s="1265"/>
      <c r="Y19" s="336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2"/>
      <c r="Q20" s="1263"/>
      <c r="R20" s="667"/>
      <c r="S20" s="668"/>
      <c r="T20" s="667"/>
      <c r="U20" s="668"/>
      <c r="V20" s="667"/>
      <c r="W20" s="668"/>
      <c r="X20" s="1265"/>
      <c r="Y20" s="3362"/>
      <c r="Z20" s="1264"/>
      <c r="AA20" s="1264">
        <v>1</v>
      </c>
      <c r="AB20" s="1264">
        <v>1</v>
      </c>
      <c r="AC20" s="1264">
        <v>1</v>
      </c>
    </row>
    <row r="21" spans="1:29" ht="28.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2"/>
      <c r="Q21" s="1263" t="str">
        <f>B21</f>
        <v>基础设施水平</v>
      </c>
      <c r="R21" s="667" t="s">
        <v>14</v>
      </c>
      <c r="S21" s="668">
        <f>F21</f>
        <v>100</v>
      </c>
      <c r="T21" s="667" t="s">
        <v>14</v>
      </c>
      <c r="U21" s="668">
        <f>H21</f>
        <v>100</v>
      </c>
      <c r="V21" s="667" t="s">
        <v>14</v>
      </c>
      <c r="W21" s="668">
        <f>J21</f>
        <v>100</v>
      </c>
      <c r="X21" s="1265"/>
      <c r="Y21" s="336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2"/>
      <c r="Q22" s="1263"/>
      <c r="R22" s="667"/>
      <c r="S22" s="668"/>
      <c r="T22" s="667"/>
      <c r="U22" s="668"/>
      <c r="V22" s="667"/>
      <c r="W22" s="668"/>
      <c r="X22" s="1265"/>
      <c r="Y22" s="3362"/>
      <c r="Z22" s="1264"/>
      <c r="AA22" s="1264">
        <v>1</v>
      </c>
      <c r="AB22" s="1264">
        <v>1</v>
      </c>
      <c r="AC22" s="1264">
        <v>1</v>
      </c>
    </row>
    <row r="23" spans="1:29" ht="71.2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2"/>
      <c r="Q23" s="1263" t="str">
        <f>B23</f>
        <v>环境质量</v>
      </c>
      <c r="R23" s="667" t="s">
        <v>14</v>
      </c>
      <c r="S23" s="668">
        <f>F23</f>
        <v>100</v>
      </c>
      <c r="T23" s="667" t="s">
        <v>14</v>
      </c>
      <c r="U23" s="668">
        <f>H23</f>
        <v>100</v>
      </c>
      <c r="V23" s="667" t="s">
        <v>14</v>
      </c>
      <c r="W23" s="668">
        <f>J23</f>
        <v>100</v>
      </c>
      <c r="X23" s="1265"/>
      <c r="Y23" s="336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2"/>
      <c r="Q24" s="1263"/>
      <c r="R24" s="667"/>
      <c r="S24" s="668"/>
      <c r="T24" s="667"/>
      <c r="U24" s="668"/>
      <c r="V24" s="667"/>
      <c r="W24" s="668"/>
      <c r="X24" s="1265"/>
      <c r="Y24" s="336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2"/>
      <c r="Q25" s="1263">
        <f>B25</f>
        <v>111</v>
      </c>
      <c r="R25" s="667" t="s">
        <v>14</v>
      </c>
      <c r="S25" s="668">
        <f>F25</f>
        <v>100</v>
      </c>
      <c r="T25" s="667" t="s">
        <v>14</v>
      </c>
      <c r="U25" s="668">
        <f>H25</f>
        <v>100</v>
      </c>
      <c r="V25" s="667" t="s">
        <v>14</v>
      </c>
      <c r="W25" s="668">
        <f>J25</f>
        <v>100</v>
      </c>
      <c r="X25" s="1265"/>
      <c r="Y25" s="336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2"/>
      <c r="Q26" s="1263">
        <f t="shared" ref="Q26:Q40" si="11">B26</f>
        <v>111</v>
      </c>
      <c r="R26" s="667" t="s">
        <v>14</v>
      </c>
      <c r="S26" s="668">
        <f>F26</f>
        <v>100</v>
      </c>
      <c r="T26" s="667" t="s">
        <v>14</v>
      </c>
      <c r="U26" s="668">
        <f>H26</f>
        <v>100</v>
      </c>
      <c r="V26" s="667" t="s">
        <v>14</v>
      </c>
      <c r="W26" s="668">
        <f>J26</f>
        <v>100</v>
      </c>
      <c r="X26" s="1265"/>
      <c r="Y26" s="336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2"/>
      <c r="Q27" s="530">
        <f t="shared" si="11"/>
        <v>111</v>
      </c>
      <c r="R27" s="664" t="s">
        <v>14</v>
      </c>
      <c r="S27" s="665">
        <f>F27</f>
        <v>100</v>
      </c>
      <c r="T27" s="664" t="s">
        <v>14</v>
      </c>
      <c r="U27" s="665">
        <f>H27</f>
        <v>100</v>
      </c>
      <c r="V27" s="664" t="s">
        <v>14</v>
      </c>
      <c r="W27" s="665">
        <f>J27</f>
        <v>100</v>
      </c>
      <c r="X27" s="666"/>
      <c r="Y27" s="336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2"/>
      <c r="Q28" s="1263">
        <f t="shared" si="11"/>
        <v>111</v>
      </c>
      <c r="R28" s="667" t="s">
        <v>14</v>
      </c>
      <c r="S28" s="668">
        <f t="shared" ref="S28:S40" si="12">F28</f>
        <v>100</v>
      </c>
      <c r="T28" s="667" t="s">
        <v>14</v>
      </c>
      <c r="U28" s="668">
        <f t="shared" ref="U28:U40" si="13">H28</f>
        <v>100</v>
      </c>
      <c r="V28" s="667" t="s">
        <v>14</v>
      </c>
      <c r="W28" s="668">
        <f t="shared" ref="W28:W40" si="14">J28</f>
        <v>100</v>
      </c>
      <c r="X28" s="1265"/>
      <c r="Y28" s="336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6" t="s">
        <v>1696</v>
      </c>
      <c r="Q29" s="1263" t="str">
        <f t="shared" si="11"/>
        <v>建筑类型</v>
      </c>
      <c r="R29" s="667" t="s">
        <v>14</v>
      </c>
      <c r="S29" s="668">
        <f t="shared" si="12"/>
        <v>100</v>
      </c>
      <c r="T29" s="667" t="s">
        <v>14</v>
      </c>
      <c r="U29" s="668">
        <f t="shared" si="13"/>
        <v>100</v>
      </c>
      <c r="V29" s="667" t="s">
        <v>14</v>
      </c>
      <c r="W29" s="668">
        <f t="shared" si="14"/>
        <v>100</v>
      </c>
      <c r="X29" s="1265"/>
      <c r="Y29" s="336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6"/>
      <c r="Q30" s="531" t="str">
        <f t="shared" si="11"/>
        <v>项目建筑规模</v>
      </c>
      <c r="R30" s="669" t="s">
        <v>14</v>
      </c>
      <c r="S30" s="670" t="e">
        <f t="shared" si="12"/>
        <v>#N/A</v>
      </c>
      <c r="T30" s="669" t="s">
        <v>14</v>
      </c>
      <c r="U30" s="670" t="e">
        <f t="shared" si="13"/>
        <v>#N/A</v>
      </c>
      <c r="V30" s="669" t="s">
        <v>14</v>
      </c>
      <c r="W30" s="670" t="e">
        <f t="shared" si="14"/>
        <v>#N/A</v>
      </c>
      <c r="X30" s="671"/>
      <c r="Y30" s="336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6"/>
      <c r="Q31" s="1263" t="str">
        <f t="shared" si="11"/>
        <v>建筑结构</v>
      </c>
      <c r="R31" s="667" t="s">
        <v>14</v>
      </c>
      <c r="S31" s="668">
        <f t="shared" si="12"/>
        <v>100</v>
      </c>
      <c r="T31" s="667" t="s">
        <v>14</v>
      </c>
      <c r="U31" s="668">
        <f t="shared" si="13"/>
        <v>100</v>
      </c>
      <c r="V31" s="667" t="s">
        <v>14</v>
      </c>
      <c r="W31" s="668">
        <f t="shared" si="14"/>
        <v>100</v>
      </c>
      <c r="X31" s="1265"/>
      <c r="Y31" s="336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6"/>
      <c r="Q32" s="1263" t="str">
        <f t="shared" si="11"/>
        <v>公共部分装修</v>
      </c>
      <c r="R32" s="667" t="s">
        <v>14</v>
      </c>
      <c r="S32" s="668">
        <f t="shared" si="12"/>
        <v>100</v>
      </c>
      <c r="T32" s="667" t="s">
        <v>14</v>
      </c>
      <c r="U32" s="668">
        <f t="shared" si="13"/>
        <v>100</v>
      </c>
      <c r="V32" s="667" t="s">
        <v>14</v>
      </c>
      <c r="W32" s="668">
        <f t="shared" si="14"/>
        <v>100</v>
      </c>
      <c r="X32" s="1265"/>
      <c r="Y32" s="336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6"/>
      <c r="Q33" s="1263" t="str">
        <f t="shared" si="11"/>
        <v>成新度</v>
      </c>
      <c r="R33" s="667" t="s">
        <v>14</v>
      </c>
      <c r="S33" s="668" t="e">
        <f t="shared" si="12"/>
        <v>#N/A</v>
      </c>
      <c r="T33" s="667" t="s">
        <v>14</v>
      </c>
      <c r="U33" s="668" t="e">
        <f t="shared" si="13"/>
        <v>#N/A</v>
      </c>
      <c r="V33" s="667" t="s">
        <v>14</v>
      </c>
      <c r="W33" s="668" t="e">
        <f t="shared" si="14"/>
        <v>#N/A</v>
      </c>
      <c r="X33" s="1265"/>
      <c r="Y33" s="336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6"/>
      <c r="Q34" s="530" t="str">
        <f t="shared" si="11"/>
        <v>物业管理</v>
      </c>
      <c r="R34" s="664" t="s">
        <v>14</v>
      </c>
      <c r="S34" s="665">
        <f t="shared" si="12"/>
        <v>100</v>
      </c>
      <c r="T34" s="664" t="s">
        <v>14</v>
      </c>
      <c r="U34" s="665">
        <f t="shared" si="13"/>
        <v>100</v>
      </c>
      <c r="V34" s="664" t="s">
        <v>14</v>
      </c>
      <c r="W34" s="665">
        <f t="shared" si="14"/>
        <v>100</v>
      </c>
      <c r="X34" s="666"/>
      <c r="Y34" s="336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6" t="s">
        <v>1696</v>
      </c>
      <c r="Q35" s="1263" t="str">
        <f t="shared" si="11"/>
        <v>市政基础设施</v>
      </c>
      <c r="R35" s="667" t="s">
        <v>14</v>
      </c>
      <c r="S35" s="668">
        <f t="shared" si="12"/>
        <v>100</v>
      </c>
      <c r="T35" s="667" t="s">
        <v>14</v>
      </c>
      <c r="U35" s="668">
        <f t="shared" si="13"/>
        <v>100</v>
      </c>
      <c r="V35" s="667" t="s">
        <v>14</v>
      </c>
      <c r="W35" s="668">
        <f t="shared" si="14"/>
        <v>100</v>
      </c>
      <c r="X35" s="1265"/>
      <c r="Y35" s="336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6"/>
      <c r="Q36" s="1263" t="str">
        <f t="shared" si="11"/>
        <v>内部装修</v>
      </c>
      <c r="R36" s="667" t="s">
        <v>14</v>
      </c>
      <c r="S36" s="668">
        <f t="shared" si="12"/>
        <v>100</v>
      </c>
      <c r="T36" s="667" t="s">
        <v>14</v>
      </c>
      <c r="U36" s="668">
        <f t="shared" si="13"/>
        <v>100</v>
      </c>
      <c r="V36" s="667" t="s">
        <v>14</v>
      </c>
      <c r="W36" s="668">
        <f t="shared" si="14"/>
        <v>100</v>
      </c>
      <c r="X36" s="1265"/>
      <c r="Y36" s="336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6"/>
      <c r="Q37" s="1263" t="str">
        <f t="shared" si="11"/>
        <v>内部装修状况</v>
      </c>
      <c r="R37" s="667" t="s">
        <v>14</v>
      </c>
      <c r="S37" s="668">
        <f t="shared" si="12"/>
        <v>100</v>
      </c>
      <c r="T37" s="667" t="s">
        <v>14</v>
      </c>
      <c r="U37" s="668">
        <f t="shared" si="13"/>
        <v>100</v>
      </c>
      <c r="V37" s="667" t="s">
        <v>14</v>
      </c>
      <c r="W37" s="668">
        <f t="shared" si="14"/>
        <v>100</v>
      </c>
      <c r="X37" s="1265"/>
      <c r="Y37" s="336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6"/>
      <c r="Q38" s="531">
        <f t="shared" si="11"/>
        <v>111</v>
      </c>
      <c r="R38" s="669" t="s">
        <v>14</v>
      </c>
      <c r="S38" s="670">
        <f t="shared" si="12"/>
        <v>100</v>
      </c>
      <c r="T38" s="669" t="s">
        <v>14</v>
      </c>
      <c r="U38" s="670">
        <f t="shared" si="13"/>
        <v>100</v>
      </c>
      <c r="V38" s="669" t="s">
        <v>14</v>
      </c>
      <c r="W38" s="670">
        <f t="shared" si="14"/>
        <v>100</v>
      </c>
      <c r="X38" s="671"/>
      <c r="Y38" s="336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6"/>
      <c r="Q39" s="1263">
        <f t="shared" si="11"/>
        <v>111</v>
      </c>
      <c r="R39" s="667" t="s">
        <v>14</v>
      </c>
      <c r="S39" s="668">
        <f t="shared" si="12"/>
        <v>100</v>
      </c>
      <c r="T39" s="667" t="s">
        <v>14</v>
      </c>
      <c r="U39" s="668">
        <f t="shared" si="13"/>
        <v>100</v>
      </c>
      <c r="V39" s="667" t="s">
        <v>14</v>
      </c>
      <c r="W39" s="668">
        <f t="shared" si="14"/>
        <v>100</v>
      </c>
      <c r="X39" s="1265"/>
      <c r="Y39" s="336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7"/>
      <c r="Q40" s="1263">
        <f t="shared" si="11"/>
        <v>111</v>
      </c>
      <c r="R40" s="667" t="s">
        <v>14</v>
      </c>
      <c r="S40" s="668">
        <f t="shared" si="12"/>
        <v>100</v>
      </c>
      <c r="T40" s="667" t="s">
        <v>14</v>
      </c>
      <c r="U40" s="668">
        <f t="shared" si="13"/>
        <v>100</v>
      </c>
      <c r="V40" s="667" t="s">
        <v>14</v>
      </c>
      <c r="W40" s="668">
        <f t="shared" si="14"/>
        <v>100</v>
      </c>
      <c r="X40" s="1265"/>
      <c r="Y40" s="336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59" t="str">
        <f>A41</f>
        <v>成交单价（元/平方米）</v>
      </c>
      <c r="Q41" s="3359"/>
      <c r="R41" s="3360">
        <f>E41</f>
        <v>0</v>
      </c>
      <c r="S41" s="3360"/>
      <c r="T41" s="3360">
        <f>G41</f>
        <v>0</v>
      </c>
      <c r="U41" s="3360"/>
      <c r="V41" s="3360">
        <f>I41</f>
        <v>0</v>
      </c>
      <c r="W41" s="3360"/>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59" t="str">
        <f>A42</f>
        <v>比较价值（元/平方米）</v>
      </c>
      <c r="Q42" s="3359"/>
      <c r="R42" s="3360" t="e">
        <f>IF(F1="售价",ROUND(PRODUCT(R41,AA7:AA40),0),ROUND(PRODUCT(R41,AA7:AA40),1))</f>
        <v>#DIV/0!</v>
      </c>
      <c r="S42" s="3360"/>
      <c r="T42" s="3360" t="e">
        <f>IF(F1="售价",ROUND(PRODUCT(T41,AB7:AB40),0),ROUND(PRODUCT(T41,AB7:AB40),1))</f>
        <v>#DIV/0!</v>
      </c>
      <c r="U42" s="3360"/>
      <c r="V42" s="3360" t="e">
        <f>IF(F1="售价",ROUND(PRODUCT(V41,AC7:AC40),0),ROUND(PRODUCT(V41,AC7:AC40),1))</f>
        <v>#DIV/0!</v>
      </c>
      <c r="W42" s="336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56" t="str">
        <f>A43</f>
        <v>估价对象XX用房的比较价值（楼面单价，元/平方米）</v>
      </c>
      <c r="Q43" s="3357"/>
      <c r="R43" s="3358" t="e">
        <f>IF(F1="售价",ROUND(IF(D42="简单平均",AVERAGE(R42:V42),R42*F42+T42*H42+V42*J42),0),ROUND(IF(D42="简单平均",AVERAGE(R42:V42),R42*F42+T42*H42+V42*J42),1))</f>
        <v>#DIV/0!</v>
      </c>
      <c r="S43" s="3358"/>
      <c r="T43" s="3358"/>
      <c r="U43" s="3358"/>
      <c r="V43" s="3358"/>
      <c r="W43" s="335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ht="15">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72"/>
      <c r="AC5" s="3372"/>
    </row>
    <row r="6" spans="1:29" ht="15.75" thickBot="1">
      <c r="A6" s="350"/>
      <c r="B6" s="351"/>
      <c r="C6" s="3390" t="s">
        <v>1677</v>
      </c>
      <c r="D6" s="3391"/>
      <c r="E6" s="3397" t="s">
        <v>1677</v>
      </c>
      <c r="F6" s="3398"/>
      <c r="G6" s="3390" t="s">
        <v>1677</v>
      </c>
      <c r="H6" s="3391"/>
      <c r="I6" s="3390" t="s">
        <v>1677</v>
      </c>
      <c r="J6" s="3391"/>
      <c r="K6" s="537" t="s">
        <v>1678</v>
      </c>
      <c r="L6" s="2487"/>
      <c r="M6" s="2488"/>
      <c r="N6" s="2488"/>
      <c r="O6" s="2488"/>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45629</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4" t="s">
        <v>1680</v>
      </c>
      <c r="Q7" s="3396"/>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4" t="s">
        <v>1683</v>
      </c>
      <c r="Q8" s="3395"/>
      <c r="R8" s="664" t="s">
        <v>14</v>
      </c>
      <c r="S8" s="665">
        <f t="shared" si="0"/>
        <v>100</v>
      </c>
      <c r="T8" s="664" t="s">
        <v>14</v>
      </c>
      <c r="U8" s="665">
        <f t="shared" si="1"/>
        <v>100</v>
      </c>
      <c r="V8" s="664" t="s">
        <v>14</v>
      </c>
      <c r="W8" s="665">
        <f t="shared" si="2"/>
        <v>100</v>
      </c>
      <c r="X8" s="666"/>
      <c r="Y8" s="3394" t="s">
        <v>1683</v>
      </c>
      <c r="Z8" s="339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59" t="s">
        <v>1686</v>
      </c>
      <c r="Q9" s="530" t="str">
        <f t="shared" ref="Q9:Q14" si="6">B9</f>
        <v>用途</v>
      </c>
      <c r="R9" s="664" t="s">
        <v>14</v>
      </c>
      <c r="S9" s="665">
        <f t="shared" si="0"/>
        <v>100</v>
      </c>
      <c r="T9" s="664" t="s">
        <v>14</v>
      </c>
      <c r="U9" s="665">
        <f t="shared" si="1"/>
        <v>100</v>
      </c>
      <c r="V9" s="664" t="s">
        <v>14</v>
      </c>
      <c r="W9" s="665">
        <f t="shared" si="2"/>
        <v>100</v>
      </c>
      <c r="X9" s="666"/>
      <c r="Y9" s="3234"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5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59"/>
      <c r="Q11" s="530">
        <f t="shared" si="6"/>
        <v>111</v>
      </c>
      <c r="R11" s="664" t="s">
        <v>14</v>
      </c>
      <c r="S11" s="665">
        <f t="shared" si="0"/>
        <v>100</v>
      </c>
      <c r="T11" s="664" t="s">
        <v>14</v>
      </c>
      <c r="U11" s="665">
        <f t="shared" si="1"/>
        <v>100</v>
      </c>
      <c r="V11" s="664" t="s">
        <v>14</v>
      </c>
      <c r="W11" s="665">
        <f t="shared" si="2"/>
        <v>100</v>
      </c>
      <c r="X11" s="666"/>
      <c r="Y11" s="323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5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85.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61" t="s">
        <v>1691</v>
      </c>
      <c r="Q14" s="1263" t="str">
        <f t="shared" si="6"/>
        <v>交通便捷度</v>
      </c>
      <c r="R14" s="667" t="s">
        <v>14</v>
      </c>
      <c r="S14" s="668">
        <f t="shared" si="0"/>
        <v>100</v>
      </c>
      <c r="T14" s="667" t="s">
        <v>14</v>
      </c>
      <c r="U14" s="668">
        <f t="shared" si="1"/>
        <v>100</v>
      </c>
      <c r="V14" s="667" t="s">
        <v>14</v>
      </c>
      <c r="W14" s="668">
        <f t="shared" si="2"/>
        <v>100</v>
      </c>
      <c r="X14" s="1265"/>
      <c r="Y14" s="336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62"/>
      <c r="Q15" s="1263"/>
      <c r="R15" s="667"/>
      <c r="S15" s="668"/>
      <c r="T15" s="667"/>
      <c r="U15" s="668"/>
      <c r="V15" s="667"/>
      <c r="W15" s="668"/>
      <c r="X15" s="1265"/>
      <c r="Y15" s="3362"/>
      <c r="Z15" s="1264"/>
      <c r="AA15" s="1264">
        <v>1</v>
      </c>
      <c r="AB15" s="1264">
        <v>1</v>
      </c>
      <c r="AC15" s="1264">
        <v>1</v>
      </c>
    </row>
    <row r="16" spans="1:29" ht="42.7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62"/>
      <c r="Q16" s="1263" t="str">
        <f>B16</f>
        <v>公共配套设施</v>
      </c>
      <c r="R16" s="667" t="s">
        <v>14</v>
      </c>
      <c r="S16" s="668">
        <f>F16</f>
        <v>100</v>
      </c>
      <c r="T16" s="667" t="s">
        <v>14</v>
      </c>
      <c r="U16" s="668">
        <f>H16</f>
        <v>100</v>
      </c>
      <c r="V16" s="667" t="s">
        <v>14</v>
      </c>
      <c r="W16" s="668">
        <f>J16</f>
        <v>100</v>
      </c>
      <c r="X16" s="1265"/>
      <c r="Y16" s="336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62"/>
      <c r="Q17" s="1263"/>
      <c r="R17" s="667"/>
      <c r="S17" s="668"/>
      <c r="T17" s="667"/>
      <c r="U17" s="668"/>
      <c r="V17" s="667"/>
      <c r="W17" s="668"/>
      <c r="X17" s="1265"/>
      <c r="Y17" s="3362"/>
      <c r="Z17" s="1264"/>
      <c r="AA17" s="1264">
        <v>1</v>
      </c>
      <c r="AB17" s="1264">
        <v>1</v>
      </c>
      <c r="AC17" s="1264">
        <v>1</v>
      </c>
    </row>
    <row r="18" spans="1:29" ht="28.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62"/>
      <c r="Q18" s="1263" t="str">
        <f>B18</f>
        <v>基础设施水平</v>
      </c>
      <c r="R18" s="667" t="s">
        <v>14</v>
      </c>
      <c r="S18" s="668">
        <f>F18</f>
        <v>100</v>
      </c>
      <c r="T18" s="667" t="s">
        <v>14</v>
      </c>
      <c r="U18" s="668">
        <f>H18</f>
        <v>100</v>
      </c>
      <c r="V18" s="667" t="s">
        <v>14</v>
      </c>
      <c r="W18" s="668">
        <f>J18</f>
        <v>100</v>
      </c>
      <c r="X18" s="1265"/>
      <c r="Y18" s="336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62"/>
      <c r="Q19" s="1263"/>
      <c r="R19" s="667"/>
      <c r="S19" s="668"/>
      <c r="T19" s="667"/>
      <c r="U19" s="668"/>
      <c r="V19" s="667"/>
      <c r="W19" s="668"/>
      <c r="X19" s="1265"/>
      <c r="Y19" s="3362"/>
      <c r="Z19" s="1264"/>
      <c r="AA19" s="1264">
        <v>1</v>
      </c>
      <c r="AB19" s="1264">
        <v>1</v>
      </c>
      <c r="AC19" s="1264">
        <v>1</v>
      </c>
    </row>
    <row r="20" spans="1:29" ht="57">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62"/>
      <c r="Q20" s="1263" t="str">
        <f>B20</f>
        <v>自然及人文环境</v>
      </c>
      <c r="R20" s="667" t="s">
        <v>14</v>
      </c>
      <c r="S20" s="668">
        <f>F20</f>
        <v>100</v>
      </c>
      <c r="T20" s="667" t="s">
        <v>14</v>
      </c>
      <c r="U20" s="668">
        <f>H20</f>
        <v>100</v>
      </c>
      <c r="V20" s="667" t="s">
        <v>14</v>
      </c>
      <c r="W20" s="668">
        <f>J20</f>
        <v>100</v>
      </c>
      <c r="X20" s="1265"/>
      <c r="Y20" s="336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62"/>
      <c r="Q21" s="1263"/>
      <c r="R21" s="667"/>
      <c r="S21" s="668"/>
      <c r="T21" s="667"/>
      <c r="U21" s="668"/>
      <c r="V21" s="667"/>
      <c r="W21" s="668"/>
      <c r="X21" s="1265"/>
      <c r="Y21" s="336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62"/>
      <c r="Q22" s="1263" t="str">
        <f>B22</f>
        <v>楼层</v>
      </c>
      <c r="R22" s="667" t="s">
        <v>14</v>
      </c>
      <c r="S22" s="668">
        <f>F22</f>
        <v>100</v>
      </c>
      <c r="T22" s="667" t="s">
        <v>14</v>
      </c>
      <c r="U22" s="668">
        <f>H22</f>
        <v>100</v>
      </c>
      <c r="V22" s="667" t="s">
        <v>14</v>
      </c>
      <c r="W22" s="668">
        <f>J22</f>
        <v>100</v>
      </c>
      <c r="X22" s="1265"/>
      <c r="Y22" s="336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62"/>
      <c r="Q23" s="1263">
        <f>B23</f>
        <v>111</v>
      </c>
      <c r="R23" s="667" t="s">
        <v>14</v>
      </c>
      <c r="S23" s="668">
        <f>F23</f>
        <v>100</v>
      </c>
      <c r="T23" s="667" t="s">
        <v>14</v>
      </c>
      <c r="U23" s="668">
        <f>H23</f>
        <v>100</v>
      </c>
      <c r="V23" s="667" t="s">
        <v>14</v>
      </c>
      <c r="W23" s="668">
        <f>J23</f>
        <v>100</v>
      </c>
      <c r="X23" s="1265"/>
      <c r="Y23" s="336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62"/>
      <c r="Q24" s="1263">
        <f t="shared" ref="Q24:Q36" si="11">B24</f>
        <v>111</v>
      </c>
      <c r="R24" s="667" t="s">
        <v>14</v>
      </c>
      <c r="S24" s="668">
        <f>F24</f>
        <v>100</v>
      </c>
      <c r="T24" s="667" t="s">
        <v>14</v>
      </c>
      <c r="U24" s="668">
        <f>H24</f>
        <v>100</v>
      </c>
      <c r="V24" s="667" t="s">
        <v>14</v>
      </c>
      <c r="W24" s="668">
        <f>J24</f>
        <v>100</v>
      </c>
      <c r="X24" s="1265"/>
      <c r="Y24" s="336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62"/>
      <c r="Q25" s="530">
        <f t="shared" si="11"/>
        <v>111</v>
      </c>
      <c r="R25" s="664" t="s">
        <v>14</v>
      </c>
      <c r="S25" s="665">
        <f>F25</f>
        <v>100</v>
      </c>
      <c r="T25" s="664" t="s">
        <v>14</v>
      </c>
      <c r="U25" s="665">
        <f>H25</f>
        <v>100</v>
      </c>
      <c r="V25" s="664" t="s">
        <v>14</v>
      </c>
      <c r="W25" s="665">
        <f>J25</f>
        <v>100</v>
      </c>
      <c r="X25" s="666"/>
      <c r="Y25" s="336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1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6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66"/>
      <c r="Q27" s="531" t="str">
        <f t="shared" si="11"/>
        <v>项目停车位配比</v>
      </c>
      <c r="R27" s="669" t="s">
        <v>14</v>
      </c>
      <c r="S27" s="670">
        <f t="shared" si="12"/>
        <v>100</v>
      </c>
      <c r="T27" s="669" t="s">
        <v>14</v>
      </c>
      <c r="U27" s="670">
        <f t="shared" si="13"/>
        <v>100</v>
      </c>
      <c r="V27" s="669" t="s">
        <v>14</v>
      </c>
      <c r="W27" s="670">
        <f t="shared" si="14"/>
        <v>100</v>
      </c>
      <c r="X27" s="671"/>
      <c r="Y27" s="336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66"/>
      <c r="Q28" s="1263" t="str">
        <f t="shared" si="11"/>
        <v>公共部分装修</v>
      </c>
      <c r="R28" s="667" t="s">
        <v>14</v>
      </c>
      <c r="S28" s="668">
        <f t="shared" si="12"/>
        <v>100</v>
      </c>
      <c r="T28" s="667" t="s">
        <v>14</v>
      </c>
      <c r="U28" s="668">
        <f t="shared" si="13"/>
        <v>100</v>
      </c>
      <c r="V28" s="667" t="s">
        <v>14</v>
      </c>
      <c r="W28" s="668">
        <f t="shared" si="14"/>
        <v>100</v>
      </c>
      <c r="X28" s="1265"/>
      <c r="Y28" s="336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66"/>
      <c r="Q29" s="1263" t="str">
        <f t="shared" si="11"/>
        <v>成新率</v>
      </c>
      <c r="R29" s="667" t="s">
        <v>14</v>
      </c>
      <c r="S29" s="668" t="e">
        <f t="shared" si="12"/>
        <v>#N/A</v>
      </c>
      <c r="T29" s="667" t="s">
        <v>14</v>
      </c>
      <c r="U29" s="668" t="e">
        <f t="shared" si="13"/>
        <v>#N/A</v>
      </c>
      <c r="V29" s="667" t="s">
        <v>14</v>
      </c>
      <c r="W29" s="668" t="e">
        <f t="shared" si="14"/>
        <v>#N/A</v>
      </c>
      <c r="X29" s="1265"/>
      <c r="Y29" s="336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66"/>
      <c r="Q30" s="1263" t="str">
        <f t="shared" si="11"/>
        <v>物业等级</v>
      </c>
      <c r="R30" s="667" t="s">
        <v>14</v>
      </c>
      <c r="S30" s="668">
        <f t="shared" si="12"/>
        <v>100</v>
      </c>
      <c r="T30" s="667" t="s">
        <v>14</v>
      </c>
      <c r="U30" s="668">
        <f t="shared" si="13"/>
        <v>100</v>
      </c>
      <c r="V30" s="667" t="s">
        <v>14</v>
      </c>
      <c r="W30" s="668">
        <f t="shared" si="14"/>
        <v>100</v>
      </c>
      <c r="X30" s="1265"/>
      <c r="Y30" s="336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66"/>
      <c r="Q31" s="530" t="str">
        <f t="shared" si="11"/>
        <v>停车位面积</v>
      </c>
      <c r="R31" s="664" t="s">
        <v>14</v>
      </c>
      <c r="S31" s="665" t="e">
        <f t="shared" si="12"/>
        <v>#N/A</v>
      </c>
      <c r="T31" s="664" t="s">
        <v>14</v>
      </c>
      <c r="U31" s="665" t="e">
        <f t="shared" si="13"/>
        <v>#N/A</v>
      </c>
      <c r="V31" s="664" t="s">
        <v>14</v>
      </c>
      <c r="W31" s="665" t="e">
        <f t="shared" si="14"/>
        <v>#N/A</v>
      </c>
      <c r="X31" s="666"/>
      <c r="Y31" s="336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66" t="s">
        <v>1696</v>
      </c>
      <c r="Q32" s="1263" t="str">
        <f t="shared" si="11"/>
        <v>车位类型</v>
      </c>
      <c r="R32" s="667" t="s">
        <v>14</v>
      </c>
      <c r="S32" s="668">
        <f t="shared" si="12"/>
        <v>100</v>
      </c>
      <c r="T32" s="667" t="s">
        <v>14</v>
      </c>
      <c r="U32" s="668">
        <f t="shared" si="13"/>
        <v>100</v>
      </c>
      <c r="V32" s="667" t="s">
        <v>14</v>
      </c>
      <c r="W32" s="668">
        <f t="shared" si="14"/>
        <v>100</v>
      </c>
      <c r="X32" s="1265"/>
      <c r="Y32" s="336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66"/>
      <c r="Q33" s="1263" t="str">
        <f t="shared" si="11"/>
        <v>是否直接入户</v>
      </c>
      <c r="R33" s="667" t="s">
        <v>14</v>
      </c>
      <c r="S33" s="668">
        <f t="shared" si="12"/>
        <v>100</v>
      </c>
      <c r="T33" s="667" t="s">
        <v>14</v>
      </c>
      <c r="U33" s="668">
        <f t="shared" si="13"/>
        <v>100</v>
      </c>
      <c r="V33" s="667" t="s">
        <v>14</v>
      </c>
      <c r="W33" s="668">
        <f t="shared" si="14"/>
        <v>100</v>
      </c>
      <c r="X33" s="1265"/>
      <c r="Y33" s="336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66"/>
      <c r="Q34" s="1263">
        <f t="shared" si="11"/>
        <v>111</v>
      </c>
      <c r="R34" s="667" t="s">
        <v>14</v>
      </c>
      <c r="S34" s="668">
        <f t="shared" si="12"/>
        <v>100</v>
      </c>
      <c r="T34" s="667" t="s">
        <v>14</v>
      </c>
      <c r="U34" s="668">
        <f t="shared" si="13"/>
        <v>100</v>
      </c>
      <c r="V34" s="667" t="s">
        <v>14</v>
      </c>
      <c r="W34" s="668">
        <f t="shared" si="14"/>
        <v>100</v>
      </c>
      <c r="X34" s="1265"/>
      <c r="Y34" s="336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66"/>
      <c r="Q35" s="531">
        <f t="shared" si="11"/>
        <v>111</v>
      </c>
      <c r="R35" s="669" t="s">
        <v>14</v>
      </c>
      <c r="S35" s="670">
        <f t="shared" si="12"/>
        <v>100</v>
      </c>
      <c r="T35" s="669" t="s">
        <v>14</v>
      </c>
      <c r="U35" s="670">
        <f t="shared" si="13"/>
        <v>100</v>
      </c>
      <c r="V35" s="669" t="s">
        <v>14</v>
      </c>
      <c r="W35" s="670">
        <f t="shared" si="14"/>
        <v>100</v>
      </c>
      <c r="X35" s="671"/>
      <c r="Y35" s="336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66"/>
      <c r="Q36" s="1263">
        <f t="shared" si="11"/>
        <v>111</v>
      </c>
      <c r="R36" s="667" t="s">
        <v>14</v>
      </c>
      <c r="S36" s="668">
        <f t="shared" si="12"/>
        <v>100</v>
      </c>
      <c r="T36" s="667" t="s">
        <v>14</v>
      </c>
      <c r="U36" s="668">
        <f t="shared" si="13"/>
        <v>100</v>
      </c>
      <c r="V36" s="667" t="s">
        <v>14</v>
      </c>
      <c r="W36" s="668">
        <f t="shared" si="14"/>
        <v>100</v>
      </c>
      <c r="X36" s="1265"/>
      <c r="Y36" s="3366"/>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359" t="str">
        <f>A37</f>
        <v>成交单价</v>
      </c>
      <c r="Q37" s="3359"/>
      <c r="R37" s="3360">
        <f>E37</f>
        <v>0</v>
      </c>
      <c r="S37" s="3360"/>
      <c r="T37" s="3360">
        <f>G37</f>
        <v>0</v>
      </c>
      <c r="U37" s="3360"/>
      <c r="V37" s="3360">
        <f>I37</f>
        <v>0</v>
      </c>
      <c r="W37" s="3360"/>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359" t="str">
        <f>A38</f>
        <v>比较价值（元/平方米）</v>
      </c>
      <c r="Q38" s="3359"/>
      <c r="R38" s="3360" t="e">
        <f>IF(F1="售价",ROUND(PRODUCT(R37,AA7:AA36),0),ROUND(PRODUCT(R37,AA7:AA36),1))</f>
        <v>#DIV/0!</v>
      </c>
      <c r="S38" s="3360"/>
      <c r="T38" s="3360" t="e">
        <f>IF(F1="售价",ROUND(PRODUCT(T37,AB7:AB36),0),ROUND(PRODUCT(T37,AB7:AB36),1))</f>
        <v>#DIV/0!</v>
      </c>
      <c r="U38" s="3360"/>
      <c r="V38" s="3360" t="e">
        <f>IF(F1="售价",ROUND(PRODUCT(V37,AC7:AC36),0),ROUND(PRODUCT(V37,AC7:AC36),1))</f>
        <v>#DIV/0!</v>
      </c>
      <c r="W38" s="336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56" t="str">
        <f>A39</f>
        <v>估价对象XX用房的比较价值（楼面单价，元/平方米）</v>
      </c>
      <c r="Q39" s="3357"/>
      <c r="R39" s="3417" t="e">
        <f>IF(F1="售价",ROUND(IF(D38="简单平均",AVERAGE(R38:W38),R38*F38+T38*H38+V38*J38),0),ROUND(IF(D38="简单平均",AVERAGE(R38:V38),R38*F38+T38*H38+V38*J38),1))</f>
        <v>#DIV/0!</v>
      </c>
      <c r="S39" s="3417"/>
      <c r="T39" s="3417"/>
      <c r="U39" s="3417"/>
      <c r="V39" s="3417"/>
      <c r="W39" s="341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ht="15">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72"/>
      <c r="AC5" s="3372"/>
    </row>
    <row r="6" spans="1:29" ht="15.75" thickBot="1">
      <c r="A6" s="350"/>
      <c r="B6" s="351"/>
      <c r="C6" s="3390" t="s">
        <v>1677</v>
      </c>
      <c r="D6" s="3391"/>
      <c r="E6" s="3397" t="s">
        <v>1677</v>
      </c>
      <c r="F6" s="3398"/>
      <c r="G6" s="3390" t="s">
        <v>1677</v>
      </c>
      <c r="H6" s="3391"/>
      <c r="I6" s="3390" t="s">
        <v>1677</v>
      </c>
      <c r="J6" s="3391"/>
      <c r="K6" s="537" t="s">
        <v>1678</v>
      </c>
      <c r="L6" s="2487"/>
      <c r="M6" s="2488"/>
      <c r="N6" s="2488"/>
      <c r="O6" s="2488"/>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45629</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4" t="s">
        <v>1680</v>
      </c>
      <c r="Q7" s="3396"/>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4" t="s">
        <v>1683</v>
      </c>
      <c r="Q8" s="3395"/>
      <c r="R8" s="664" t="s">
        <v>14</v>
      </c>
      <c r="S8" s="665">
        <f t="shared" si="0"/>
        <v>100</v>
      </c>
      <c r="T8" s="664" t="s">
        <v>14</v>
      </c>
      <c r="U8" s="665">
        <f t="shared" si="1"/>
        <v>100</v>
      </c>
      <c r="V8" s="664" t="s">
        <v>14</v>
      </c>
      <c r="W8" s="665">
        <f t="shared" si="2"/>
        <v>100</v>
      </c>
      <c r="X8" s="666"/>
      <c r="Y8" s="3394" t="s">
        <v>1683</v>
      </c>
      <c r="Z8" s="339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59" t="s">
        <v>1686</v>
      </c>
      <c r="Q9" s="530" t="str">
        <f t="shared" ref="Q9:Q14" si="6">B9</f>
        <v>用途</v>
      </c>
      <c r="R9" s="664" t="s">
        <v>14</v>
      </c>
      <c r="S9" s="665">
        <f t="shared" si="0"/>
        <v>100</v>
      </c>
      <c r="T9" s="664" t="s">
        <v>14</v>
      </c>
      <c r="U9" s="665">
        <f t="shared" si="1"/>
        <v>100</v>
      </c>
      <c r="V9" s="664" t="s">
        <v>14</v>
      </c>
      <c r="W9" s="665">
        <f t="shared" si="2"/>
        <v>100</v>
      </c>
      <c r="X9" s="666"/>
      <c r="Y9" s="3234"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5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59"/>
      <c r="Q11" s="530">
        <f t="shared" si="6"/>
        <v>111</v>
      </c>
      <c r="R11" s="664" t="s">
        <v>14</v>
      </c>
      <c r="S11" s="665">
        <f t="shared" si="0"/>
        <v>100</v>
      </c>
      <c r="T11" s="664" t="s">
        <v>14</v>
      </c>
      <c r="U11" s="665">
        <f t="shared" si="1"/>
        <v>100</v>
      </c>
      <c r="V11" s="664" t="s">
        <v>14</v>
      </c>
      <c r="W11" s="665">
        <f t="shared" si="2"/>
        <v>100</v>
      </c>
      <c r="X11" s="666"/>
      <c r="Y11" s="323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5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85.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61" t="s">
        <v>1691</v>
      </c>
      <c r="Q14" s="1263" t="str">
        <f t="shared" si="6"/>
        <v>交通便捷度</v>
      </c>
      <c r="R14" s="667" t="s">
        <v>14</v>
      </c>
      <c r="S14" s="668">
        <f t="shared" si="0"/>
        <v>100</v>
      </c>
      <c r="T14" s="667" t="s">
        <v>14</v>
      </c>
      <c r="U14" s="668">
        <f t="shared" si="1"/>
        <v>100</v>
      </c>
      <c r="V14" s="667" t="s">
        <v>14</v>
      </c>
      <c r="W14" s="668">
        <f t="shared" si="2"/>
        <v>100</v>
      </c>
      <c r="X14" s="1265"/>
      <c r="Y14" s="336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62"/>
      <c r="Q15" s="1263"/>
      <c r="R15" s="667"/>
      <c r="S15" s="668"/>
      <c r="T15" s="667"/>
      <c r="U15" s="668"/>
      <c r="V15" s="667"/>
      <c r="W15" s="668"/>
      <c r="X15" s="1265"/>
      <c r="Y15" s="3362"/>
      <c r="Z15" s="1264"/>
      <c r="AA15" s="1264">
        <v>1</v>
      </c>
      <c r="AB15" s="1264">
        <v>1</v>
      </c>
      <c r="AC15" s="1264">
        <v>1</v>
      </c>
    </row>
    <row r="16" spans="1:29" ht="42.7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62"/>
      <c r="Q16" s="1263" t="str">
        <f>B16</f>
        <v>公共配套设施</v>
      </c>
      <c r="R16" s="667" t="s">
        <v>14</v>
      </c>
      <c r="S16" s="668">
        <f>F16</f>
        <v>100</v>
      </c>
      <c r="T16" s="667" t="s">
        <v>14</v>
      </c>
      <c r="U16" s="668">
        <f>H16</f>
        <v>100</v>
      </c>
      <c r="V16" s="667" t="s">
        <v>14</v>
      </c>
      <c r="W16" s="668">
        <f>J16</f>
        <v>100</v>
      </c>
      <c r="X16" s="1265"/>
      <c r="Y16" s="336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62"/>
      <c r="Q17" s="1263"/>
      <c r="R17" s="667"/>
      <c r="S17" s="668"/>
      <c r="T17" s="667"/>
      <c r="U17" s="668"/>
      <c r="V17" s="667"/>
      <c r="W17" s="668"/>
      <c r="X17" s="1265"/>
      <c r="Y17" s="3362"/>
      <c r="Z17" s="1264"/>
      <c r="AA17" s="1264">
        <v>1</v>
      </c>
      <c r="AB17" s="1264">
        <v>1</v>
      </c>
      <c r="AC17" s="1264">
        <v>1</v>
      </c>
    </row>
    <row r="18" spans="1:29" ht="28.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62"/>
      <c r="Q18" s="1263" t="str">
        <f>B18</f>
        <v>基础设施水平</v>
      </c>
      <c r="R18" s="667" t="s">
        <v>14</v>
      </c>
      <c r="S18" s="668">
        <f>F18</f>
        <v>100</v>
      </c>
      <c r="T18" s="667" t="s">
        <v>14</v>
      </c>
      <c r="U18" s="668">
        <f>H18</f>
        <v>100</v>
      </c>
      <c r="V18" s="667" t="s">
        <v>14</v>
      </c>
      <c r="W18" s="668">
        <f>J18</f>
        <v>100</v>
      </c>
      <c r="X18" s="1265"/>
      <c r="Y18" s="336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62"/>
      <c r="Q19" s="1263"/>
      <c r="R19" s="667"/>
      <c r="S19" s="668"/>
      <c r="T19" s="667"/>
      <c r="U19" s="668"/>
      <c r="V19" s="667"/>
      <c r="W19" s="668"/>
      <c r="X19" s="1265"/>
      <c r="Y19" s="3362"/>
      <c r="Z19" s="1264"/>
      <c r="AA19" s="1264">
        <v>1</v>
      </c>
      <c r="AB19" s="1264">
        <v>1</v>
      </c>
      <c r="AC19" s="1264">
        <v>1</v>
      </c>
    </row>
    <row r="20" spans="1:29" ht="57">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62"/>
      <c r="Q20" s="1263" t="str">
        <f>B20</f>
        <v>自然及人文环境</v>
      </c>
      <c r="R20" s="667" t="s">
        <v>14</v>
      </c>
      <c r="S20" s="668">
        <f>F20</f>
        <v>100</v>
      </c>
      <c r="T20" s="667" t="s">
        <v>14</v>
      </c>
      <c r="U20" s="668">
        <f>H20</f>
        <v>100</v>
      </c>
      <c r="V20" s="667" t="s">
        <v>14</v>
      </c>
      <c r="W20" s="668">
        <f>J20</f>
        <v>100</v>
      </c>
      <c r="X20" s="1265"/>
      <c r="Y20" s="336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62"/>
      <c r="Q21" s="1263"/>
      <c r="R21" s="667"/>
      <c r="S21" s="668"/>
      <c r="T21" s="667"/>
      <c r="U21" s="668"/>
      <c r="V21" s="667"/>
      <c r="W21" s="668"/>
      <c r="X21" s="1265"/>
      <c r="Y21" s="336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62"/>
      <c r="Q22" s="1263" t="str">
        <f>B22</f>
        <v>楼层</v>
      </c>
      <c r="R22" s="667" t="s">
        <v>14</v>
      </c>
      <c r="S22" s="668">
        <f>F22</f>
        <v>100</v>
      </c>
      <c r="T22" s="667" t="s">
        <v>14</v>
      </c>
      <c r="U22" s="668">
        <f>H22</f>
        <v>100</v>
      </c>
      <c r="V22" s="667" t="s">
        <v>14</v>
      </c>
      <c r="W22" s="668">
        <f>J22</f>
        <v>100</v>
      </c>
      <c r="X22" s="1265"/>
      <c r="Y22" s="336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62"/>
      <c r="Q23" s="1263">
        <f>B23</f>
        <v>111</v>
      </c>
      <c r="R23" s="667" t="s">
        <v>14</v>
      </c>
      <c r="S23" s="668">
        <f>F23</f>
        <v>100</v>
      </c>
      <c r="T23" s="667" t="s">
        <v>14</v>
      </c>
      <c r="U23" s="668">
        <f>H23</f>
        <v>100</v>
      </c>
      <c r="V23" s="667" t="s">
        <v>14</v>
      </c>
      <c r="W23" s="668">
        <f>J23</f>
        <v>100</v>
      </c>
      <c r="X23" s="1265"/>
      <c r="Y23" s="336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62"/>
      <c r="Q24" s="1263">
        <f t="shared" ref="Q24:Q34" si="11">B24</f>
        <v>111</v>
      </c>
      <c r="R24" s="667" t="s">
        <v>14</v>
      </c>
      <c r="S24" s="668">
        <f>F24</f>
        <v>100</v>
      </c>
      <c r="T24" s="667" t="s">
        <v>14</v>
      </c>
      <c r="U24" s="668">
        <f>H24</f>
        <v>100</v>
      </c>
      <c r="V24" s="667" t="s">
        <v>14</v>
      </c>
      <c r="W24" s="668">
        <f>J24</f>
        <v>100</v>
      </c>
      <c r="X24" s="1265"/>
      <c r="Y24" s="336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62"/>
      <c r="Q25" s="530">
        <f t="shared" si="11"/>
        <v>111</v>
      </c>
      <c r="R25" s="664" t="s">
        <v>14</v>
      </c>
      <c r="S25" s="665">
        <f>F25</f>
        <v>100</v>
      </c>
      <c r="T25" s="664" t="s">
        <v>14</v>
      </c>
      <c r="U25" s="665">
        <f>H25</f>
        <v>100</v>
      </c>
      <c r="V25" s="664" t="s">
        <v>14</v>
      </c>
      <c r="W25" s="665">
        <f>J25</f>
        <v>100</v>
      </c>
      <c r="X25" s="666"/>
      <c r="Y25" s="336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1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66"/>
      <c r="Q27" s="531" t="str">
        <f t="shared" si="11"/>
        <v>成新率</v>
      </c>
      <c r="R27" s="669" t="s">
        <v>14</v>
      </c>
      <c r="S27" s="670" t="e">
        <f t="shared" si="12"/>
        <v>#N/A</v>
      </c>
      <c r="T27" s="669" t="s">
        <v>14</v>
      </c>
      <c r="U27" s="670" t="e">
        <f t="shared" si="13"/>
        <v>#N/A</v>
      </c>
      <c r="V27" s="669" t="s">
        <v>14</v>
      </c>
      <c r="W27" s="670" t="e">
        <f t="shared" si="14"/>
        <v>#N/A</v>
      </c>
      <c r="X27" s="671"/>
      <c r="Y27" s="336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66"/>
      <c r="Q28" s="1263" t="str">
        <f t="shared" si="11"/>
        <v>物业等级</v>
      </c>
      <c r="R28" s="667" t="s">
        <v>14</v>
      </c>
      <c r="S28" s="668">
        <f t="shared" si="12"/>
        <v>100</v>
      </c>
      <c r="T28" s="667" t="s">
        <v>14</v>
      </c>
      <c r="U28" s="668">
        <f t="shared" si="13"/>
        <v>100</v>
      </c>
      <c r="V28" s="667" t="s">
        <v>14</v>
      </c>
      <c r="W28" s="668">
        <f t="shared" si="14"/>
        <v>100</v>
      </c>
      <c r="X28" s="1265"/>
      <c r="Y28" s="336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66"/>
      <c r="Q29" s="1263" t="str">
        <f t="shared" si="11"/>
        <v>有无电梯</v>
      </c>
      <c r="R29" s="667" t="s">
        <v>14</v>
      </c>
      <c r="S29" s="668">
        <f t="shared" si="12"/>
        <v>100</v>
      </c>
      <c r="T29" s="667" t="s">
        <v>14</v>
      </c>
      <c r="U29" s="668">
        <f t="shared" si="13"/>
        <v>100</v>
      </c>
      <c r="V29" s="667" t="s">
        <v>14</v>
      </c>
      <c r="W29" s="668">
        <f t="shared" si="14"/>
        <v>100</v>
      </c>
      <c r="X29" s="1265"/>
      <c r="Y29" s="336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66"/>
      <c r="Q30" s="1263" t="str">
        <f t="shared" si="11"/>
        <v>建筑面积</v>
      </c>
      <c r="R30" s="667" t="s">
        <v>14</v>
      </c>
      <c r="S30" s="668" t="e">
        <f t="shared" si="12"/>
        <v>#N/A</v>
      </c>
      <c r="T30" s="667" t="s">
        <v>14</v>
      </c>
      <c r="U30" s="668" t="e">
        <f t="shared" si="13"/>
        <v>#N/A</v>
      </c>
      <c r="V30" s="667" t="s">
        <v>14</v>
      </c>
      <c r="W30" s="668" t="e">
        <f t="shared" si="14"/>
        <v>#N/A</v>
      </c>
      <c r="X30" s="1265"/>
      <c r="Y30" s="336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66"/>
      <c r="Q31" s="530" t="str">
        <f t="shared" si="11"/>
        <v>是否封闭</v>
      </c>
      <c r="R31" s="664" t="s">
        <v>14</v>
      </c>
      <c r="S31" s="665">
        <f t="shared" si="12"/>
        <v>100</v>
      </c>
      <c r="T31" s="664" t="s">
        <v>14</v>
      </c>
      <c r="U31" s="665">
        <f t="shared" si="13"/>
        <v>100</v>
      </c>
      <c r="V31" s="664" t="s">
        <v>14</v>
      </c>
      <c r="W31" s="665">
        <f t="shared" si="14"/>
        <v>100</v>
      </c>
      <c r="X31" s="666"/>
      <c r="Y31" s="336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66" t="s">
        <v>1696</v>
      </c>
      <c r="Q32" s="1263">
        <f t="shared" si="11"/>
        <v>111</v>
      </c>
      <c r="R32" s="667" t="s">
        <v>14</v>
      </c>
      <c r="S32" s="668">
        <f t="shared" si="12"/>
        <v>100</v>
      </c>
      <c r="T32" s="667" t="s">
        <v>14</v>
      </c>
      <c r="U32" s="668">
        <f t="shared" si="13"/>
        <v>100</v>
      </c>
      <c r="V32" s="667" t="s">
        <v>14</v>
      </c>
      <c r="W32" s="668">
        <f t="shared" si="14"/>
        <v>100</v>
      </c>
      <c r="X32" s="1265"/>
      <c r="Y32" s="336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66"/>
      <c r="Q33" s="1263">
        <f t="shared" si="11"/>
        <v>111</v>
      </c>
      <c r="R33" s="667" t="s">
        <v>14</v>
      </c>
      <c r="S33" s="668">
        <f t="shared" si="12"/>
        <v>100</v>
      </c>
      <c r="T33" s="667" t="s">
        <v>14</v>
      </c>
      <c r="U33" s="668">
        <f t="shared" si="13"/>
        <v>100</v>
      </c>
      <c r="V33" s="667" t="s">
        <v>14</v>
      </c>
      <c r="W33" s="668">
        <f t="shared" si="14"/>
        <v>100</v>
      </c>
      <c r="X33" s="1265"/>
      <c r="Y33" s="336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66"/>
      <c r="Q34" s="1263">
        <f t="shared" si="11"/>
        <v>111</v>
      </c>
      <c r="R34" s="667" t="s">
        <v>14</v>
      </c>
      <c r="S34" s="668">
        <f t="shared" si="12"/>
        <v>100</v>
      </c>
      <c r="T34" s="667" t="s">
        <v>14</v>
      </c>
      <c r="U34" s="668">
        <f t="shared" si="13"/>
        <v>100</v>
      </c>
      <c r="V34" s="667" t="s">
        <v>14</v>
      </c>
      <c r="W34" s="668">
        <f t="shared" si="14"/>
        <v>100</v>
      </c>
      <c r="X34" s="1265"/>
      <c r="Y34" s="336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59" t="str">
        <f>A35</f>
        <v>成交单价（元/平方米）</v>
      </c>
      <c r="Q35" s="3359"/>
      <c r="R35" s="3360">
        <f>E35</f>
        <v>0</v>
      </c>
      <c r="S35" s="3360"/>
      <c r="T35" s="3360">
        <f>G35</f>
        <v>0</v>
      </c>
      <c r="U35" s="3360"/>
      <c r="V35" s="3360">
        <f>I35</f>
        <v>0</v>
      </c>
      <c r="W35" s="3360"/>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359" t="str">
        <f>A36</f>
        <v>比较价值（元/平方米）</v>
      </c>
      <c r="Q36" s="3359"/>
      <c r="R36" s="3360" t="e">
        <f>IF(F1="售价",ROUND(PRODUCT(R35,AA7:AA34),0),ROUND(PRODUCT(R35,AA7:AA34),1))</f>
        <v>#DIV/0!</v>
      </c>
      <c r="S36" s="3360"/>
      <c r="T36" s="3360" t="e">
        <f>IF(F1="售价",ROUND(PRODUCT(T35,AB7:AB34),0),ROUND(PRODUCT(T35,AB7:AB34),1))</f>
        <v>#DIV/0!</v>
      </c>
      <c r="U36" s="3360"/>
      <c r="V36" s="3360" t="e">
        <f>IF(F1="售价",ROUND(PRODUCT(V35,AC7:AC34),0),ROUND(PRODUCT(V35,AC7:AC34),1))</f>
        <v>#DIV/0!</v>
      </c>
      <c r="W36" s="336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56" t="str">
        <f>A37</f>
        <v>估价对象XX用房的比较价值（楼面单价，元/平方米）</v>
      </c>
      <c r="Q37" s="3357"/>
      <c r="R37" s="3417" t="e">
        <f>IF(F1="售价",ROUND(IF(D36="简单平均",AVERAGE(R36:W36),R36*F36+T36*H36+V36*J36),0),ROUND(IF(D36="简单平均",AVERAGE(R36:V36),R36*F36+T36*H36+V36*J36),1))</f>
        <v>#DIV/0!</v>
      </c>
      <c r="S37" s="3417"/>
      <c r="T37" s="3417"/>
      <c r="U37" s="3417"/>
      <c r="V37" s="3417"/>
      <c r="W37" s="341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ht="15">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72"/>
      <c r="AC5" s="3372"/>
    </row>
    <row r="6" spans="1:29" ht="15.75" thickBot="1">
      <c r="A6" s="350"/>
      <c r="B6" s="351"/>
      <c r="C6" s="3390" t="s">
        <v>1677</v>
      </c>
      <c r="D6" s="3391"/>
      <c r="E6" s="3397" t="s">
        <v>1677</v>
      </c>
      <c r="F6" s="3398"/>
      <c r="G6" s="3390" t="s">
        <v>1677</v>
      </c>
      <c r="H6" s="3391"/>
      <c r="I6" s="3390" t="s">
        <v>1677</v>
      </c>
      <c r="J6" s="3391"/>
      <c r="K6" s="537" t="s">
        <v>1678</v>
      </c>
      <c r="L6" s="2487"/>
      <c r="M6" s="2488"/>
      <c r="N6" s="2488"/>
      <c r="O6" s="2488"/>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45629</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4" t="s">
        <v>1683</v>
      </c>
      <c r="Q8" s="3395"/>
      <c r="R8" s="664" t="s">
        <v>14</v>
      </c>
      <c r="S8" s="665">
        <f t="shared" si="0"/>
        <v>0</v>
      </c>
      <c r="T8" s="664" t="s">
        <v>14</v>
      </c>
      <c r="U8" s="665">
        <f t="shared" si="1"/>
        <v>0</v>
      </c>
      <c r="V8" s="664" t="s">
        <v>14</v>
      </c>
      <c r="W8" s="665">
        <f t="shared" si="2"/>
        <v>0</v>
      </c>
      <c r="X8" s="666"/>
      <c r="Y8" s="3394" t="s">
        <v>1683</v>
      </c>
      <c r="Z8" s="339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5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143</v>
      </c>
      <c r="G10" s="402"/>
      <c r="H10" s="119">
        <f>ROUND(100/'数据-取费表'!G16,0)</f>
        <v>143</v>
      </c>
      <c r="I10" s="402"/>
      <c r="J10" s="119">
        <f>ROUND(100/'数据-取费表'!G16,0)</f>
        <v>143</v>
      </c>
      <c r="K10" s="592"/>
      <c r="L10" s="2490"/>
      <c r="M10" s="2491"/>
      <c r="N10" s="2491"/>
      <c r="O10" s="2542"/>
      <c r="P10" s="3359"/>
      <c r="Q10" s="530" t="str">
        <f t="shared" si="6"/>
        <v>土地使用年限（年）</v>
      </c>
      <c r="R10" s="664" t="s">
        <v>14</v>
      </c>
      <c r="S10" s="665">
        <f t="shared" si="0"/>
        <v>143</v>
      </c>
      <c r="T10" s="664" t="s">
        <v>14</v>
      </c>
      <c r="U10" s="665">
        <f t="shared" si="1"/>
        <v>143</v>
      </c>
      <c r="V10" s="664" t="s">
        <v>14</v>
      </c>
      <c r="W10" s="665">
        <f t="shared" si="2"/>
        <v>143</v>
      </c>
      <c r="X10" s="666"/>
      <c r="Y10" s="3234"/>
      <c r="Z10" s="50" t="str">
        <f t="shared" si="7"/>
        <v>土地使用年限（年）</v>
      </c>
      <c r="AA10" s="50">
        <f t="shared" si="3"/>
        <v>0.69930069930069927</v>
      </c>
      <c r="AB10" s="50">
        <f t="shared" si="4"/>
        <v>0.69930069930069927</v>
      </c>
      <c r="AC10" s="50">
        <f t="shared" si="5"/>
        <v>0.69930069930069927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59"/>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59"/>
      <c r="Q12" s="530" t="str">
        <f t="shared" si="6"/>
        <v>配建</v>
      </c>
      <c r="R12" s="664" t="s">
        <v>14</v>
      </c>
      <c r="S12" s="665">
        <f t="shared" si="0"/>
        <v>100</v>
      </c>
      <c r="T12" s="664" t="s">
        <v>14</v>
      </c>
      <c r="U12" s="665">
        <f t="shared" si="1"/>
        <v>100</v>
      </c>
      <c r="V12" s="664" t="s">
        <v>14</v>
      </c>
      <c r="W12" s="665">
        <f t="shared" si="2"/>
        <v>100</v>
      </c>
      <c r="X12" s="666"/>
      <c r="Y12" s="323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59"/>
      <c r="Q14" s="530">
        <f t="shared" si="6"/>
        <v>111</v>
      </c>
      <c r="R14" s="664" t="s">
        <v>14</v>
      </c>
      <c r="S14" s="665">
        <f t="shared" si="0"/>
        <v>100</v>
      </c>
      <c r="T14" s="664" t="s">
        <v>14</v>
      </c>
      <c r="U14" s="665">
        <f t="shared" si="1"/>
        <v>100</v>
      </c>
      <c r="V14" s="664" t="s">
        <v>14</v>
      </c>
      <c r="W14" s="665">
        <f t="shared" si="2"/>
        <v>100</v>
      </c>
      <c r="X14" s="666"/>
      <c r="Y14" s="3234"/>
      <c r="Z14" s="50">
        <f t="shared" si="7"/>
        <v>111</v>
      </c>
      <c r="AA14" s="50">
        <f>D14/F14</f>
        <v>1</v>
      </c>
      <c r="AB14" s="50">
        <f>D14/H14</f>
        <v>1</v>
      </c>
      <c r="AC14" s="50">
        <f>D14/J14</f>
        <v>1</v>
      </c>
    </row>
    <row r="15" spans="1:29" ht="99.7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61" t="s">
        <v>1691</v>
      </c>
      <c r="Q15" s="1263" t="str">
        <f t="shared" si="6"/>
        <v>居住社区成熟度</v>
      </c>
      <c r="R15" s="667" t="s">
        <v>14</v>
      </c>
      <c r="S15" s="668">
        <f t="shared" si="0"/>
        <v>100</v>
      </c>
      <c r="T15" s="667" t="s">
        <v>14</v>
      </c>
      <c r="U15" s="668">
        <f t="shared" si="1"/>
        <v>100</v>
      </c>
      <c r="V15" s="667" t="s">
        <v>14</v>
      </c>
      <c r="W15" s="668">
        <f t="shared" si="2"/>
        <v>100</v>
      </c>
      <c r="X15" s="1265"/>
      <c r="Y15" s="336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62"/>
      <c r="Q16" s="1263"/>
      <c r="R16" s="667"/>
      <c r="S16" s="668"/>
      <c r="T16" s="667"/>
      <c r="U16" s="668"/>
      <c r="V16" s="667"/>
      <c r="W16" s="668"/>
      <c r="X16" s="1265"/>
      <c r="Y16" s="3362"/>
      <c r="Z16" s="1264"/>
      <c r="AA16" s="1264">
        <v>1</v>
      </c>
      <c r="AB16" s="1264">
        <v>1</v>
      </c>
      <c r="AC16" s="1264">
        <v>1</v>
      </c>
    </row>
    <row r="17" spans="1:29" ht="71.2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62"/>
      <c r="Q17" s="1263" t="str">
        <f>B17</f>
        <v>商业繁华度</v>
      </c>
      <c r="R17" s="667" t="s">
        <v>14</v>
      </c>
      <c r="S17" s="668">
        <f>F17</f>
        <v>100</v>
      </c>
      <c r="T17" s="667" t="s">
        <v>14</v>
      </c>
      <c r="U17" s="668">
        <f>H17</f>
        <v>100</v>
      </c>
      <c r="V17" s="667" t="s">
        <v>14</v>
      </c>
      <c r="W17" s="668">
        <f>J17</f>
        <v>100</v>
      </c>
      <c r="X17" s="1265"/>
      <c r="Y17" s="336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62"/>
      <c r="Q18" s="1263"/>
      <c r="R18" s="667"/>
      <c r="S18" s="668"/>
      <c r="T18" s="667"/>
      <c r="U18" s="668"/>
      <c r="V18" s="667"/>
      <c r="W18" s="668"/>
      <c r="X18" s="1265"/>
      <c r="Y18" s="3362"/>
      <c r="Z18" s="1264"/>
      <c r="AA18" s="1264">
        <v>1</v>
      </c>
      <c r="AB18" s="1264">
        <v>1</v>
      </c>
      <c r="AC18" s="1264">
        <v>1</v>
      </c>
    </row>
    <row r="19" spans="1:29" ht="71.2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62"/>
      <c r="Q19" s="1263" t="str">
        <f>B19</f>
        <v>办公集聚程度</v>
      </c>
      <c r="R19" s="667" t="s">
        <v>14</v>
      </c>
      <c r="S19" s="668">
        <f>F19</f>
        <v>100</v>
      </c>
      <c r="T19" s="667" t="s">
        <v>14</v>
      </c>
      <c r="U19" s="668">
        <f>H19</f>
        <v>100</v>
      </c>
      <c r="V19" s="667" t="s">
        <v>14</v>
      </c>
      <c r="W19" s="668">
        <f>J19</f>
        <v>100</v>
      </c>
      <c r="X19" s="1265"/>
      <c r="Y19" s="336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62"/>
      <c r="Q20" s="1263"/>
      <c r="R20" s="667"/>
      <c r="S20" s="668"/>
      <c r="T20" s="667"/>
      <c r="U20" s="668"/>
      <c r="V20" s="667"/>
      <c r="W20" s="668"/>
      <c r="X20" s="1265"/>
      <c r="Y20" s="3362"/>
      <c r="Z20" s="1264"/>
      <c r="AA20" s="1264">
        <v>1</v>
      </c>
      <c r="AB20" s="1264">
        <v>1</v>
      </c>
      <c r="AC20" s="1264">
        <v>1</v>
      </c>
    </row>
    <row r="21" spans="1:29" ht="85.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62"/>
      <c r="Q21" s="1263" t="str">
        <f>B21</f>
        <v>交通便捷度</v>
      </c>
      <c r="R21" s="667" t="s">
        <v>14</v>
      </c>
      <c r="S21" s="668">
        <f>F21</f>
        <v>100</v>
      </c>
      <c r="T21" s="667" t="s">
        <v>14</v>
      </c>
      <c r="U21" s="668">
        <f>H21</f>
        <v>100</v>
      </c>
      <c r="V21" s="667" t="s">
        <v>14</v>
      </c>
      <c r="W21" s="668">
        <f>J21</f>
        <v>100</v>
      </c>
      <c r="X21" s="1265"/>
      <c r="Y21" s="336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62"/>
      <c r="Q22" s="1263"/>
      <c r="R22" s="667"/>
      <c r="S22" s="668"/>
      <c r="T22" s="667"/>
      <c r="U22" s="668"/>
      <c r="V22" s="667"/>
      <c r="W22" s="668"/>
      <c r="X22" s="1265"/>
      <c r="Y22" s="336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62"/>
      <c r="Q23" s="1263" t="str">
        <f t="shared" ref="Q23:Q37" si="8">B23</f>
        <v>区域土地利用方向</v>
      </c>
      <c r="R23" s="667" t="s">
        <v>14</v>
      </c>
      <c r="S23" s="668">
        <f>F23</f>
        <v>100</v>
      </c>
      <c r="T23" s="667" t="s">
        <v>14</v>
      </c>
      <c r="U23" s="668">
        <f>H23</f>
        <v>100</v>
      </c>
      <c r="V23" s="667" t="s">
        <v>14</v>
      </c>
      <c r="W23" s="668">
        <f>J23</f>
        <v>100</v>
      </c>
      <c r="X23" s="1265"/>
      <c r="Y23" s="336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62"/>
      <c r="Q24" s="1263"/>
      <c r="R24" s="667"/>
      <c r="S24" s="668"/>
      <c r="T24" s="667"/>
      <c r="U24" s="668"/>
      <c r="V24" s="667"/>
      <c r="W24" s="668"/>
      <c r="X24" s="1265"/>
      <c r="Y24" s="3362"/>
      <c r="Z24" s="1264"/>
      <c r="AA24" s="1264"/>
      <c r="AB24" s="1264"/>
      <c r="AC24" s="1264"/>
    </row>
    <row r="25" spans="1:29" ht="5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62"/>
      <c r="Q25" s="1263" t="str">
        <f t="shared" si="8"/>
        <v>自然及人文环境状况</v>
      </c>
      <c r="R25" s="667" t="s">
        <v>14</v>
      </c>
      <c r="S25" s="668">
        <f>F25</f>
        <v>100</v>
      </c>
      <c r="T25" s="667" t="s">
        <v>14</v>
      </c>
      <c r="U25" s="668">
        <f>H25</f>
        <v>100</v>
      </c>
      <c r="V25" s="667" t="s">
        <v>14</v>
      </c>
      <c r="W25" s="668">
        <f>J25</f>
        <v>100</v>
      </c>
      <c r="X25" s="1265"/>
      <c r="Y25" s="336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62"/>
      <c r="Q26" s="1263"/>
      <c r="R26" s="667"/>
      <c r="S26" s="668"/>
      <c r="T26" s="667"/>
      <c r="U26" s="668"/>
      <c r="V26" s="667"/>
      <c r="W26" s="668"/>
      <c r="X26" s="1265"/>
      <c r="Y26" s="3362"/>
      <c r="Z26" s="1264"/>
      <c r="AA26" s="1264">
        <v>1</v>
      </c>
      <c r="AB26" s="1264">
        <v>1</v>
      </c>
      <c r="AC26" s="1264">
        <v>1</v>
      </c>
    </row>
    <row r="27" spans="1:29" s="102" customFormat="1" ht="42.7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62"/>
      <c r="Q27" s="530" t="str">
        <f t="shared" si="8"/>
        <v>公共配套设施</v>
      </c>
      <c r="R27" s="664" t="s">
        <v>14</v>
      </c>
      <c r="S27" s="665">
        <f>F27</f>
        <v>100</v>
      </c>
      <c r="T27" s="664" t="s">
        <v>14</v>
      </c>
      <c r="U27" s="665">
        <f>H27</f>
        <v>100</v>
      </c>
      <c r="V27" s="664" t="s">
        <v>14</v>
      </c>
      <c r="W27" s="665">
        <f>J27</f>
        <v>100</v>
      </c>
      <c r="X27" s="666"/>
      <c r="Y27" s="336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62"/>
      <c r="Q28" s="530"/>
      <c r="R28" s="664"/>
      <c r="S28" s="665"/>
      <c r="T28" s="664"/>
      <c r="U28" s="665"/>
      <c r="V28" s="664"/>
      <c r="W28" s="665"/>
      <c r="X28" s="666"/>
      <c r="Y28" s="3362"/>
      <c r="Z28" s="50"/>
      <c r="AA28" s="1264">
        <v>1</v>
      </c>
      <c r="AB28" s="1264">
        <v>1</v>
      </c>
      <c r="AC28" s="1264">
        <v>1</v>
      </c>
    </row>
    <row r="29" spans="1:29" s="102" customFormat="1" ht="28.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62"/>
      <c r="Q29" s="530" t="str">
        <f t="shared" ref="Q29" si="9">B29</f>
        <v>基础设施水平</v>
      </c>
      <c r="R29" s="664" t="s">
        <v>14</v>
      </c>
      <c r="S29" s="665">
        <f>F29</f>
        <v>100</v>
      </c>
      <c r="T29" s="664" t="s">
        <v>14</v>
      </c>
      <c r="U29" s="665">
        <f>H29</f>
        <v>100</v>
      </c>
      <c r="V29" s="664" t="s">
        <v>14</v>
      </c>
      <c r="W29" s="665">
        <f>J29</f>
        <v>100</v>
      </c>
      <c r="X29" s="666"/>
      <c r="Y29" s="336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62"/>
      <c r="Q30" s="530"/>
      <c r="R30" s="664"/>
      <c r="S30" s="665"/>
      <c r="T30" s="664"/>
      <c r="U30" s="665"/>
      <c r="V30" s="664"/>
      <c r="W30" s="665"/>
      <c r="X30" s="666"/>
      <c r="Y30" s="336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6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62"/>
      <c r="Q32" s="1263" t="str">
        <f t="shared" si="8"/>
        <v>毗邻道路的类型与等级</v>
      </c>
      <c r="R32" s="667" t="s">
        <v>14</v>
      </c>
      <c r="S32" s="668">
        <f t="shared" si="10"/>
        <v>100</v>
      </c>
      <c r="T32" s="667" t="s">
        <v>14</v>
      </c>
      <c r="U32" s="668">
        <f t="shared" si="11"/>
        <v>100</v>
      </c>
      <c r="V32" s="667" t="s">
        <v>14</v>
      </c>
      <c r="W32" s="668">
        <f t="shared" si="12"/>
        <v>100</v>
      </c>
      <c r="X32" s="1265"/>
      <c r="Y32" s="336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62"/>
      <c r="Q33" s="1263"/>
      <c r="R33" s="667"/>
      <c r="S33" s="668"/>
      <c r="T33" s="667"/>
      <c r="U33" s="668"/>
      <c r="V33" s="667"/>
      <c r="W33" s="668"/>
      <c r="X33" s="1265"/>
      <c r="Y33" s="336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62"/>
      <c r="Q34" s="1263" t="str">
        <f t="shared" si="8"/>
        <v>土地级别</v>
      </c>
      <c r="R34" s="667" t="s">
        <v>14</v>
      </c>
      <c r="S34" s="668">
        <f t="shared" si="10"/>
        <v>100</v>
      </c>
      <c r="T34" s="667" t="s">
        <v>14</v>
      </c>
      <c r="U34" s="668">
        <f t="shared" si="11"/>
        <v>100</v>
      </c>
      <c r="V34" s="667" t="s">
        <v>14</v>
      </c>
      <c r="W34" s="668">
        <f t="shared" si="12"/>
        <v>100</v>
      </c>
      <c r="X34" s="1265"/>
      <c r="Y34" s="336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62"/>
      <c r="Q35" s="1263">
        <f t="shared" si="8"/>
        <v>111</v>
      </c>
      <c r="R35" s="667" t="s">
        <v>14</v>
      </c>
      <c r="S35" s="668">
        <f t="shared" si="10"/>
        <v>100</v>
      </c>
      <c r="T35" s="667" t="s">
        <v>14</v>
      </c>
      <c r="U35" s="668">
        <f t="shared" si="11"/>
        <v>100</v>
      </c>
      <c r="V35" s="667" t="s">
        <v>14</v>
      </c>
      <c r="W35" s="668">
        <f t="shared" si="12"/>
        <v>100</v>
      </c>
      <c r="X35" s="1265"/>
      <c r="Y35" s="336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16" t="s">
        <v>1696</v>
      </c>
      <c r="Q36" s="1263">
        <f t="shared" si="8"/>
        <v>111</v>
      </c>
      <c r="R36" s="667" t="s">
        <v>14</v>
      </c>
      <c r="S36" s="668">
        <f t="shared" si="10"/>
        <v>100</v>
      </c>
      <c r="T36" s="667" t="s">
        <v>14</v>
      </c>
      <c r="U36" s="668">
        <f t="shared" si="11"/>
        <v>100</v>
      </c>
      <c r="V36" s="667" t="s">
        <v>14</v>
      </c>
      <c r="W36" s="668">
        <f t="shared" si="12"/>
        <v>100</v>
      </c>
      <c r="X36" s="1265"/>
      <c r="Y36" s="336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66"/>
      <c r="Q37" s="1263">
        <f t="shared" si="8"/>
        <v>111</v>
      </c>
      <c r="R37" s="669" t="s">
        <v>14</v>
      </c>
      <c r="S37" s="670">
        <f t="shared" si="10"/>
        <v>100</v>
      </c>
      <c r="T37" s="669" t="s">
        <v>14</v>
      </c>
      <c r="U37" s="670">
        <f t="shared" si="11"/>
        <v>100</v>
      </c>
      <c r="V37" s="669" t="s">
        <v>14</v>
      </c>
      <c r="W37" s="670">
        <f t="shared" si="12"/>
        <v>100</v>
      </c>
      <c r="X37" s="671"/>
      <c r="Y37" s="336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66"/>
      <c r="Q38" s="1263" t="str">
        <f>B38</f>
        <v>宗地面积</v>
      </c>
      <c r="R38" s="667" t="s">
        <v>14</v>
      </c>
      <c r="S38" s="668" t="e">
        <f t="shared" si="10"/>
        <v>#N/A</v>
      </c>
      <c r="T38" s="667" t="s">
        <v>14</v>
      </c>
      <c r="U38" s="668" t="e">
        <f t="shared" si="11"/>
        <v>#N/A</v>
      </c>
      <c r="V38" s="667" t="s">
        <v>14</v>
      </c>
      <c r="W38" s="668" t="e">
        <f t="shared" si="12"/>
        <v>#N/A</v>
      </c>
      <c r="X38" s="1265"/>
      <c r="Y38" s="336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66"/>
      <c r="Q39" s="1263" t="str">
        <f t="shared" ref="Q39:Q45" si="14">B39</f>
        <v>宗地形状</v>
      </c>
      <c r="R39" s="667" t="s">
        <v>14</v>
      </c>
      <c r="S39" s="668">
        <f t="shared" si="10"/>
        <v>100</v>
      </c>
      <c r="T39" s="667" t="s">
        <v>14</v>
      </c>
      <c r="U39" s="668">
        <f t="shared" si="11"/>
        <v>100</v>
      </c>
      <c r="V39" s="667" t="s">
        <v>14</v>
      </c>
      <c r="W39" s="668">
        <f t="shared" si="12"/>
        <v>100</v>
      </c>
      <c r="X39" s="1265"/>
      <c r="Y39" s="336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66"/>
      <c r="Q40" s="1263" t="str">
        <f t="shared" si="14"/>
        <v>临街宽度及深度</v>
      </c>
      <c r="R40" s="667" t="s">
        <v>14</v>
      </c>
      <c r="S40" s="668">
        <f t="shared" si="10"/>
        <v>100</v>
      </c>
      <c r="T40" s="667" t="s">
        <v>14</v>
      </c>
      <c r="U40" s="668">
        <f t="shared" si="11"/>
        <v>100</v>
      </c>
      <c r="V40" s="667" t="s">
        <v>14</v>
      </c>
      <c r="W40" s="668">
        <f t="shared" si="12"/>
        <v>100</v>
      </c>
      <c r="X40" s="1265"/>
      <c r="Y40" s="336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66"/>
      <c r="Q41" s="1263" t="str">
        <f t="shared" si="14"/>
        <v>宗地开发程度</v>
      </c>
      <c r="R41" s="664" t="s">
        <v>14</v>
      </c>
      <c r="S41" s="665">
        <f t="shared" si="10"/>
        <v>100</v>
      </c>
      <c r="T41" s="664" t="s">
        <v>14</v>
      </c>
      <c r="U41" s="665">
        <f t="shared" si="11"/>
        <v>100</v>
      </c>
      <c r="V41" s="664" t="s">
        <v>14</v>
      </c>
      <c r="W41" s="665">
        <f t="shared" si="12"/>
        <v>100</v>
      </c>
      <c r="X41" s="666"/>
      <c r="Y41" s="336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66" t="s">
        <v>1696</v>
      </c>
      <c r="Q42" s="1263" t="str">
        <f t="shared" si="14"/>
        <v>工程地质条件</v>
      </c>
      <c r="R42" s="667" t="s">
        <v>14</v>
      </c>
      <c r="S42" s="668">
        <f t="shared" si="10"/>
        <v>100</v>
      </c>
      <c r="T42" s="667" t="s">
        <v>14</v>
      </c>
      <c r="U42" s="668">
        <f t="shared" si="11"/>
        <v>100</v>
      </c>
      <c r="V42" s="667" t="s">
        <v>14</v>
      </c>
      <c r="W42" s="668">
        <f t="shared" si="12"/>
        <v>100</v>
      </c>
      <c r="X42" s="1265"/>
      <c r="Y42" s="336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66"/>
      <c r="Q43" s="1263">
        <f t="shared" si="14"/>
        <v>111</v>
      </c>
      <c r="R43" s="667" t="s">
        <v>14</v>
      </c>
      <c r="S43" s="668">
        <f t="shared" si="10"/>
        <v>100</v>
      </c>
      <c r="T43" s="667" t="s">
        <v>14</v>
      </c>
      <c r="U43" s="668">
        <f t="shared" si="11"/>
        <v>100</v>
      </c>
      <c r="V43" s="667" t="s">
        <v>14</v>
      </c>
      <c r="W43" s="668">
        <f t="shared" si="12"/>
        <v>100</v>
      </c>
      <c r="X43" s="1265"/>
      <c r="Y43" s="336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66"/>
      <c r="Q44" s="1263">
        <f t="shared" si="14"/>
        <v>111</v>
      </c>
      <c r="R44" s="667" t="s">
        <v>14</v>
      </c>
      <c r="S44" s="668">
        <f t="shared" si="10"/>
        <v>100</v>
      </c>
      <c r="T44" s="667" t="s">
        <v>14</v>
      </c>
      <c r="U44" s="668">
        <f t="shared" si="11"/>
        <v>100</v>
      </c>
      <c r="V44" s="667" t="s">
        <v>14</v>
      </c>
      <c r="W44" s="668">
        <f t="shared" si="12"/>
        <v>100</v>
      </c>
      <c r="X44" s="1265"/>
      <c r="Y44" s="336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66"/>
      <c r="Q45" s="1263">
        <f t="shared" si="14"/>
        <v>111</v>
      </c>
      <c r="R45" s="669" t="s">
        <v>14</v>
      </c>
      <c r="S45" s="670">
        <f t="shared" si="10"/>
        <v>100</v>
      </c>
      <c r="T45" s="669" t="s">
        <v>14</v>
      </c>
      <c r="U45" s="670">
        <f t="shared" si="11"/>
        <v>100</v>
      </c>
      <c r="V45" s="669" t="s">
        <v>14</v>
      </c>
      <c r="W45" s="670">
        <f t="shared" si="12"/>
        <v>100</v>
      </c>
      <c r="X45" s="671"/>
      <c r="Y45" s="336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59" t="str">
        <f>A46</f>
        <v>成交单价</v>
      </c>
      <c r="Q46" s="3359"/>
      <c r="R46" s="3360">
        <f>E46</f>
        <v>0</v>
      </c>
      <c r="S46" s="3360"/>
      <c r="T46" s="3360">
        <f>G46</f>
        <v>0</v>
      </c>
      <c r="U46" s="3360"/>
      <c r="V46" s="3360">
        <f>I46</f>
        <v>0</v>
      </c>
      <c r="W46" s="3360"/>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359" t="str">
        <f>A47</f>
        <v>比较价值（元/平方米）</v>
      </c>
      <c r="Q47" s="3359"/>
      <c r="R47" s="3418" t="e">
        <f>ROUND(PRODUCT(R46,AA7:AA45),0)</f>
        <v>#DIV/0!</v>
      </c>
      <c r="S47" s="3418"/>
      <c r="T47" s="3418" t="e">
        <f>ROUND(PRODUCT(T46,AB7:AB45),0)</f>
        <v>#DIV/0!</v>
      </c>
      <c r="U47" s="3418"/>
      <c r="V47" s="3418" t="e">
        <f>ROUND(PRODUCT(V46,AC7:AC45),0)</f>
        <v>#DIV/0!</v>
      </c>
      <c r="W47" s="341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56" t="str">
        <f>A48</f>
        <v>估价对象XX用房的比较价值（楼面单价，元/平方米）</v>
      </c>
      <c r="Q48" s="3357"/>
      <c r="R48" s="3419" t="e">
        <f>ROUND(IF(D47="简单平均",AVERAGE(R47:W47),R47*F47+T47*H47+V47*J47),0)</f>
        <v>#DIV/0!</v>
      </c>
      <c r="S48" s="3419"/>
      <c r="T48" s="3419"/>
      <c r="U48" s="3419"/>
      <c r="V48" s="3419"/>
      <c r="W48" s="341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4" t="s">
        <v>1887</v>
      </c>
      <c r="H55" s="342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2929.54</v>
      </c>
      <c r="F56" s="833" t="e">
        <f t="shared" ref="F56:F64" si="15">ROUND(B56*E56/10000,0)</f>
        <v>#DIV/0!</v>
      </c>
      <c r="G56" s="3370"/>
      <c r="H56" s="335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五级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五级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五级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五级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2929.54</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4" t="s">
        <v>1770</v>
      </c>
      <c r="D4" s="3375"/>
      <c r="E4" s="3376" t="s">
        <v>1771</v>
      </c>
      <c r="F4" s="3377"/>
      <c r="G4" s="3374" t="s">
        <v>1772</v>
      </c>
      <c r="H4" s="3375"/>
      <c r="I4" s="3374" t="s">
        <v>1773</v>
      </c>
      <c r="J4" s="3375"/>
      <c r="K4" s="537" t="s">
        <v>1774</v>
      </c>
      <c r="L4" s="2487"/>
      <c r="M4" s="2488"/>
      <c r="N4" s="2488"/>
      <c r="O4" s="2488"/>
      <c r="P4" s="3378" t="s">
        <v>1775</v>
      </c>
      <c r="Q4" s="3379"/>
      <c r="R4" s="3384" t="s">
        <v>1771</v>
      </c>
      <c r="S4" s="3385"/>
      <c r="T4" s="3384" t="s">
        <v>1772</v>
      </c>
      <c r="U4" s="3385"/>
      <c r="V4" s="3360" t="s">
        <v>1773</v>
      </c>
      <c r="W4" s="3360"/>
      <c r="X4" s="1265"/>
      <c r="Y4" s="3384" t="s">
        <v>1775</v>
      </c>
      <c r="Z4" s="3385"/>
      <c r="AA4" s="3371" t="s">
        <v>1771</v>
      </c>
      <c r="AB4" s="3372" t="s">
        <v>1772</v>
      </c>
      <c r="AC4" s="3371" t="s">
        <v>1773</v>
      </c>
    </row>
    <row r="5" spans="1:29" ht="15">
      <c r="A5" s="348"/>
      <c r="B5" s="349"/>
      <c r="C5" s="3392" t="s">
        <v>1673</v>
      </c>
      <c r="D5" s="3393"/>
      <c r="E5" s="3399" t="s">
        <v>1674</v>
      </c>
      <c r="F5" s="3400"/>
      <c r="G5" s="3392" t="s">
        <v>1675</v>
      </c>
      <c r="H5" s="3393"/>
      <c r="I5" s="3392" t="s">
        <v>1676</v>
      </c>
      <c r="J5" s="3393"/>
      <c r="K5" s="537"/>
      <c r="L5" s="2487"/>
      <c r="M5" s="2488"/>
      <c r="N5" s="2488"/>
      <c r="O5" s="2488"/>
      <c r="P5" s="3380"/>
      <c r="Q5" s="3381"/>
      <c r="R5" s="3386"/>
      <c r="S5" s="3387"/>
      <c r="T5" s="3386"/>
      <c r="U5" s="3387"/>
      <c r="V5" s="3360"/>
      <c r="W5" s="3360"/>
      <c r="X5" s="1265"/>
      <c r="Y5" s="3386"/>
      <c r="Z5" s="3387"/>
      <c r="AA5" s="3372"/>
      <c r="AB5" s="3372"/>
      <c r="AC5" s="3372"/>
    </row>
    <row r="6" spans="1:29" ht="15.75" thickBot="1">
      <c r="A6" s="350"/>
      <c r="B6" s="351"/>
      <c r="C6" s="3421" t="s">
        <v>1919</v>
      </c>
      <c r="D6" s="3422"/>
      <c r="E6" s="3423" t="s">
        <v>1919</v>
      </c>
      <c r="F6" s="3424"/>
      <c r="G6" s="3421" t="s">
        <v>1919</v>
      </c>
      <c r="H6" s="3422"/>
      <c r="I6" s="3421" t="s">
        <v>1919</v>
      </c>
      <c r="J6" s="3422"/>
      <c r="K6" s="537" t="s">
        <v>1678</v>
      </c>
      <c r="L6" s="2487"/>
      <c r="M6" s="2488"/>
      <c r="N6" s="2488"/>
      <c r="O6" s="2488"/>
      <c r="P6" s="3382"/>
      <c r="Q6" s="3383"/>
      <c r="R6" s="3386"/>
      <c r="S6" s="3387"/>
      <c r="T6" s="3388"/>
      <c r="U6" s="3389"/>
      <c r="V6" s="3360"/>
      <c r="W6" s="3360"/>
      <c r="X6" s="1265"/>
      <c r="Y6" s="3388"/>
      <c r="Z6" s="3389"/>
      <c r="AA6" s="3373"/>
      <c r="AB6" s="3373"/>
      <c r="AC6" s="3373"/>
    </row>
    <row r="7" spans="1:29" s="102" customFormat="1" ht="15.75" thickBot="1">
      <c r="A7" s="352" t="s">
        <v>1679</v>
      </c>
      <c r="B7" s="353"/>
      <c r="C7" s="354">
        <f>'数据-取费表'!B2</f>
        <v>45629</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4" t="s">
        <v>1680</v>
      </c>
      <c r="Q7" s="3396"/>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4" t="s">
        <v>1683</v>
      </c>
      <c r="Q8" s="3395"/>
      <c r="R8" s="664" t="s">
        <v>14</v>
      </c>
      <c r="S8" s="665">
        <f t="shared" si="0"/>
        <v>0</v>
      </c>
      <c r="T8" s="664" t="s">
        <v>14</v>
      </c>
      <c r="U8" s="665">
        <f t="shared" si="1"/>
        <v>0</v>
      </c>
      <c r="V8" s="664" t="s">
        <v>14</v>
      </c>
      <c r="W8" s="665">
        <f t="shared" si="2"/>
        <v>0</v>
      </c>
      <c r="X8" s="666"/>
      <c r="Y8" s="3394" t="s">
        <v>1683</v>
      </c>
      <c r="Z8" s="339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5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143</v>
      </c>
      <c r="G10" s="371"/>
      <c r="H10" s="119">
        <f>ROUND(100/'数据-取费表'!G16,0)</f>
        <v>143</v>
      </c>
      <c r="I10" s="371"/>
      <c r="J10" s="119">
        <f>ROUND(100/'数据-取费表'!G16,0)</f>
        <v>143</v>
      </c>
      <c r="K10" s="592"/>
      <c r="L10" s="2490"/>
      <c r="M10" s="2491"/>
      <c r="N10" s="2491"/>
      <c r="O10" s="2542"/>
      <c r="P10" s="3359"/>
      <c r="Q10" s="530" t="str">
        <f t="shared" si="6"/>
        <v>土地使用年限（年）</v>
      </c>
      <c r="R10" s="664" t="s">
        <v>14</v>
      </c>
      <c r="S10" s="665">
        <f t="shared" si="0"/>
        <v>143</v>
      </c>
      <c r="T10" s="664" t="s">
        <v>14</v>
      </c>
      <c r="U10" s="665">
        <f t="shared" si="1"/>
        <v>143</v>
      </c>
      <c r="V10" s="664" t="s">
        <v>14</v>
      </c>
      <c r="W10" s="665">
        <f t="shared" si="2"/>
        <v>143</v>
      </c>
      <c r="X10" s="666"/>
      <c r="Y10" s="3234"/>
      <c r="Z10" s="50" t="str">
        <f t="shared" si="7"/>
        <v>土地使用年限（年）</v>
      </c>
      <c r="AA10" s="50">
        <f t="shared" si="3"/>
        <v>0.69930069930069927</v>
      </c>
      <c r="AB10" s="50">
        <f t="shared" si="4"/>
        <v>0.69930069930069927</v>
      </c>
      <c r="AC10" s="50">
        <f t="shared" si="5"/>
        <v>0.69930069930069927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59"/>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5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5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59"/>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57">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61" t="s">
        <v>1691</v>
      </c>
      <c r="Q15" s="1263" t="str">
        <f t="shared" si="6"/>
        <v>产业集聚程度</v>
      </c>
      <c r="R15" s="667" t="s">
        <v>14</v>
      </c>
      <c r="S15" s="668">
        <f t="shared" si="0"/>
        <v>100</v>
      </c>
      <c r="T15" s="667" t="s">
        <v>14</v>
      </c>
      <c r="U15" s="668">
        <f t="shared" si="1"/>
        <v>100</v>
      </c>
      <c r="V15" s="667" t="s">
        <v>14</v>
      </c>
      <c r="W15" s="668">
        <f t="shared" si="2"/>
        <v>100</v>
      </c>
      <c r="X15" s="1265"/>
      <c r="Y15" s="336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62"/>
      <c r="Q16" s="1263"/>
      <c r="R16" s="667"/>
      <c r="S16" s="668"/>
      <c r="T16" s="667"/>
      <c r="U16" s="668"/>
      <c r="V16" s="667"/>
      <c r="W16" s="668"/>
      <c r="X16" s="1265"/>
      <c r="Y16" s="3362"/>
      <c r="Z16" s="1264"/>
      <c r="AA16" s="1264">
        <v>1</v>
      </c>
      <c r="AB16" s="1264">
        <v>1</v>
      </c>
      <c r="AC16" s="1264">
        <v>1</v>
      </c>
    </row>
    <row r="17" spans="1:29" ht="85.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62"/>
      <c r="Q17" s="1263" t="str">
        <f>B17</f>
        <v>交通便捷度</v>
      </c>
      <c r="R17" s="667" t="s">
        <v>14</v>
      </c>
      <c r="S17" s="668">
        <f>F17</f>
        <v>100</v>
      </c>
      <c r="T17" s="667" t="s">
        <v>14</v>
      </c>
      <c r="U17" s="668">
        <f>H17</f>
        <v>100</v>
      </c>
      <c r="V17" s="667" t="s">
        <v>14</v>
      </c>
      <c r="W17" s="668">
        <f>J17</f>
        <v>100</v>
      </c>
      <c r="X17" s="1265"/>
      <c r="Y17" s="336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62"/>
      <c r="Q18" s="1263"/>
      <c r="R18" s="667"/>
      <c r="S18" s="668"/>
      <c r="T18" s="667"/>
      <c r="U18" s="668"/>
      <c r="V18" s="667"/>
      <c r="W18" s="668"/>
      <c r="X18" s="1265"/>
      <c r="Y18" s="336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62"/>
      <c r="Q19" s="1263" t="str">
        <f t="shared" ref="Q19:Q33" si="8">B19</f>
        <v>区域土地利用方向</v>
      </c>
      <c r="R19" s="667" t="s">
        <v>14</v>
      </c>
      <c r="S19" s="668">
        <f>F19</f>
        <v>100</v>
      </c>
      <c r="T19" s="667" t="s">
        <v>14</v>
      </c>
      <c r="U19" s="668">
        <f>H19</f>
        <v>100</v>
      </c>
      <c r="V19" s="667" t="s">
        <v>14</v>
      </c>
      <c r="W19" s="668">
        <f>J19</f>
        <v>100</v>
      </c>
      <c r="X19" s="1265"/>
      <c r="Y19" s="336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62"/>
      <c r="Q20" s="1263"/>
      <c r="R20" s="667"/>
      <c r="S20" s="668"/>
      <c r="T20" s="667"/>
      <c r="U20" s="668"/>
      <c r="V20" s="667"/>
      <c r="W20" s="668"/>
      <c r="X20" s="1265"/>
      <c r="Y20" s="3362"/>
      <c r="Z20" s="1264"/>
      <c r="AA20" s="1264"/>
      <c r="AB20" s="1264"/>
      <c r="AC20" s="1264"/>
    </row>
    <row r="21" spans="1:29" ht="71.2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62"/>
      <c r="Q21" s="1263" t="str">
        <f t="shared" si="8"/>
        <v>环境状况</v>
      </c>
      <c r="R21" s="667" t="s">
        <v>14</v>
      </c>
      <c r="S21" s="668">
        <f>F21</f>
        <v>100</v>
      </c>
      <c r="T21" s="667" t="s">
        <v>14</v>
      </c>
      <c r="U21" s="668">
        <f>H21</f>
        <v>100</v>
      </c>
      <c r="V21" s="667" t="s">
        <v>14</v>
      </c>
      <c r="W21" s="668">
        <f>J21</f>
        <v>100</v>
      </c>
      <c r="X21" s="1265"/>
      <c r="Y21" s="336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62"/>
      <c r="Q22" s="1263"/>
      <c r="R22" s="667"/>
      <c r="S22" s="668"/>
      <c r="T22" s="667"/>
      <c r="U22" s="668"/>
      <c r="V22" s="667"/>
      <c r="W22" s="668"/>
      <c r="X22" s="1265"/>
      <c r="Y22" s="3362"/>
      <c r="Z22" s="1264"/>
      <c r="AA22" s="1264">
        <v>1</v>
      </c>
      <c r="AB22" s="1264">
        <v>1</v>
      </c>
      <c r="AC22" s="1264">
        <v>1</v>
      </c>
    </row>
    <row r="23" spans="1:29" s="102" customFormat="1" ht="42.7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62"/>
      <c r="Q23" s="530" t="str">
        <f t="shared" si="8"/>
        <v>公共配套设施</v>
      </c>
      <c r="R23" s="664" t="s">
        <v>14</v>
      </c>
      <c r="S23" s="665">
        <f>F23</f>
        <v>100</v>
      </c>
      <c r="T23" s="664" t="s">
        <v>14</v>
      </c>
      <c r="U23" s="665">
        <f>H23</f>
        <v>100</v>
      </c>
      <c r="V23" s="664" t="s">
        <v>14</v>
      </c>
      <c r="W23" s="665">
        <f>J23</f>
        <v>100</v>
      </c>
      <c r="X23" s="666"/>
      <c r="Y23" s="336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62"/>
      <c r="Q24" s="530"/>
      <c r="R24" s="664"/>
      <c r="S24" s="665"/>
      <c r="T24" s="664"/>
      <c r="U24" s="665"/>
      <c r="V24" s="664"/>
      <c r="W24" s="665"/>
      <c r="X24" s="666"/>
      <c r="Y24" s="3362"/>
      <c r="Z24" s="50"/>
      <c r="AA24" s="50">
        <v>1</v>
      </c>
      <c r="AB24" s="50">
        <v>1</v>
      </c>
      <c r="AC24" s="50">
        <v>1</v>
      </c>
    </row>
    <row r="25" spans="1:29" s="102" customFormat="1" ht="28.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62"/>
      <c r="Q25" s="530" t="str">
        <f t="shared" ref="Q25" si="9">B25</f>
        <v>基础设施水平</v>
      </c>
      <c r="R25" s="664" t="s">
        <v>14</v>
      </c>
      <c r="S25" s="665">
        <f>F25</f>
        <v>100</v>
      </c>
      <c r="T25" s="664" t="s">
        <v>14</v>
      </c>
      <c r="U25" s="665">
        <f>H25</f>
        <v>100</v>
      </c>
      <c r="V25" s="664" t="s">
        <v>14</v>
      </c>
      <c r="W25" s="665">
        <f>J25</f>
        <v>100</v>
      </c>
      <c r="X25" s="666"/>
      <c r="Y25" s="336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62"/>
      <c r="Q26" s="530"/>
      <c r="R26" s="664"/>
      <c r="S26" s="665"/>
      <c r="T26" s="664"/>
      <c r="U26" s="665"/>
      <c r="V26" s="664"/>
      <c r="W26" s="665"/>
      <c r="X26" s="666"/>
      <c r="Y26" s="336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6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62"/>
      <c r="Q28" s="1263" t="str">
        <f t="shared" si="8"/>
        <v>毗邻道路的类型与等级</v>
      </c>
      <c r="R28" s="667" t="s">
        <v>14</v>
      </c>
      <c r="S28" s="668">
        <f t="shared" si="10"/>
        <v>100</v>
      </c>
      <c r="T28" s="667" t="s">
        <v>14</v>
      </c>
      <c r="U28" s="668">
        <f t="shared" si="11"/>
        <v>100</v>
      </c>
      <c r="V28" s="667" t="s">
        <v>14</v>
      </c>
      <c r="W28" s="668">
        <f t="shared" si="12"/>
        <v>100</v>
      </c>
      <c r="X28" s="1265"/>
      <c r="Y28" s="336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62"/>
      <c r="Q29" s="1263"/>
      <c r="R29" s="667"/>
      <c r="S29" s="668"/>
      <c r="T29" s="667"/>
      <c r="U29" s="668"/>
      <c r="V29" s="667"/>
      <c r="W29" s="668"/>
      <c r="X29" s="1265"/>
      <c r="Y29" s="336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62"/>
      <c r="Q30" s="1263" t="str">
        <f t="shared" si="8"/>
        <v>土地级别</v>
      </c>
      <c r="R30" s="667" t="s">
        <v>14</v>
      </c>
      <c r="S30" s="668">
        <f t="shared" si="10"/>
        <v>100</v>
      </c>
      <c r="T30" s="667" t="s">
        <v>14</v>
      </c>
      <c r="U30" s="668">
        <f t="shared" si="11"/>
        <v>100</v>
      </c>
      <c r="V30" s="667" t="s">
        <v>14</v>
      </c>
      <c r="W30" s="668">
        <f t="shared" si="12"/>
        <v>100</v>
      </c>
      <c r="X30" s="1265"/>
      <c r="Y30" s="336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62"/>
      <c r="Q31" s="1263">
        <f t="shared" si="8"/>
        <v>111</v>
      </c>
      <c r="R31" s="667" t="s">
        <v>14</v>
      </c>
      <c r="S31" s="668">
        <f t="shared" si="10"/>
        <v>100</v>
      </c>
      <c r="T31" s="667" t="s">
        <v>14</v>
      </c>
      <c r="U31" s="668">
        <f t="shared" si="11"/>
        <v>100</v>
      </c>
      <c r="V31" s="667" t="s">
        <v>14</v>
      </c>
      <c r="W31" s="668">
        <f t="shared" si="12"/>
        <v>100</v>
      </c>
      <c r="X31" s="1265"/>
      <c r="Y31" s="336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16" t="s">
        <v>1696</v>
      </c>
      <c r="Q32" s="1263">
        <f t="shared" si="8"/>
        <v>111</v>
      </c>
      <c r="R32" s="667" t="s">
        <v>14</v>
      </c>
      <c r="S32" s="668">
        <f t="shared" si="10"/>
        <v>100</v>
      </c>
      <c r="T32" s="667" t="s">
        <v>14</v>
      </c>
      <c r="U32" s="668">
        <f t="shared" si="11"/>
        <v>100</v>
      </c>
      <c r="V32" s="667" t="s">
        <v>14</v>
      </c>
      <c r="W32" s="668">
        <f t="shared" si="12"/>
        <v>100</v>
      </c>
      <c r="X32" s="1265"/>
      <c r="Y32" s="336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66"/>
      <c r="Q33" s="1263">
        <f t="shared" si="8"/>
        <v>111</v>
      </c>
      <c r="R33" s="669" t="s">
        <v>14</v>
      </c>
      <c r="S33" s="670">
        <f t="shared" si="10"/>
        <v>100</v>
      </c>
      <c r="T33" s="669" t="s">
        <v>14</v>
      </c>
      <c r="U33" s="670">
        <f t="shared" si="11"/>
        <v>100</v>
      </c>
      <c r="V33" s="669" t="s">
        <v>14</v>
      </c>
      <c r="W33" s="670">
        <f t="shared" si="12"/>
        <v>100</v>
      </c>
      <c r="X33" s="671"/>
      <c r="Y33" s="336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66"/>
      <c r="Q34" s="1263" t="str">
        <f>B34</f>
        <v>宗地面积</v>
      </c>
      <c r="R34" s="667" t="s">
        <v>14</v>
      </c>
      <c r="S34" s="668" t="e">
        <f t="shared" si="10"/>
        <v>#N/A</v>
      </c>
      <c r="T34" s="667" t="s">
        <v>14</v>
      </c>
      <c r="U34" s="668" t="e">
        <f t="shared" si="11"/>
        <v>#N/A</v>
      </c>
      <c r="V34" s="667" t="s">
        <v>14</v>
      </c>
      <c r="W34" s="668" t="e">
        <f t="shared" si="12"/>
        <v>#N/A</v>
      </c>
      <c r="X34" s="1265"/>
      <c r="Y34" s="336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66"/>
      <c r="Q35" s="1263" t="str">
        <f t="shared" ref="Q35:Q40" si="14">B35</f>
        <v>宗地形状</v>
      </c>
      <c r="R35" s="667" t="s">
        <v>14</v>
      </c>
      <c r="S35" s="668">
        <f t="shared" si="10"/>
        <v>100</v>
      </c>
      <c r="T35" s="667" t="s">
        <v>14</v>
      </c>
      <c r="U35" s="668">
        <f t="shared" si="11"/>
        <v>100</v>
      </c>
      <c r="V35" s="667" t="s">
        <v>14</v>
      </c>
      <c r="W35" s="668">
        <f t="shared" si="12"/>
        <v>100</v>
      </c>
      <c r="X35" s="1265"/>
      <c r="Y35" s="336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66"/>
      <c r="Q36" s="1263" t="str">
        <f t="shared" si="14"/>
        <v>宗地开发程度</v>
      </c>
      <c r="R36" s="664" t="s">
        <v>14</v>
      </c>
      <c r="S36" s="665">
        <f t="shared" si="10"/>
        <v>100</v>
      </c>
      <c r="T36" s="664" t="s">
        <v>14</v>
      </c>
      <c r="U36" s="665">
        <f t="shared" si="11"/>
        <v>100</v>
      </c>
      <c r="V36" s="664" t="s">
        <v>14</v>
      </c>
      <c r="W36" s="665">
        <f t="shared" si="12"/>
        <v>100</v>
      </c>
      <c r="X36" s="666"/>
      <c r="Y36" s="336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66" t="s">
        <v>1696</v>
      </c>
      <c r="Q37" s="1263" t="str">
        <f t="shared" si="14"/>
        <v>工程地质条件</v>
      </c>
      <c r="R37" s="667" t="s">
        <v>14</v>
      </c>
      <c r="S37" s="668">
        <f t="shared" si="10"/>
        <v>100</v>
      </c>
      <c r="T37" s="667" t="s">
        <v>14</v>
      </c>
      <c r="U37" s="668">
        <f t="shared" si="11"/>
        <v>100</v>
      </c>
      <c r="V37" s="667" t="s">
        <v>14</v>
      </c>
      <c r="W37" s="668">
        <f t="shared" si="12"/>
        <v>100</v>
      </c>
      <c r="X37" s="1265"/>
      <c r="Y37" s="336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66"/>
      <c r="Q38" s="1263">
        <f t="shared" si="14"/>
        <v>111</v>
      </c>
      <c r="R38" s="667" t="s">
        <v>14</v>
      </c>
      <c r="S38" s="668">
        <f t="shared" si="10"/>
        <v>100</v>
      </c>
      <c r="T38" s="667" t="s">
        <v>14</v>
      </c>
      <c r="U38" s="668">
        <f t="shared" si="11"/>
        <v>100</v>
      </c>
      <c r="V38" s="667" t="s">
        <v>14</v>
      </c>
      <c r="W38" s="668">
        <f t="shared" si="12"/>
        <v>100</v>
      </c>
      <c r="X38" s="1265"/>
      <c r="Y38" s="336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66"/>
      <c r="Q39" s="1263">
        <f t="shared" si="14"/>
        <v>111</v>
      </c>
      <c r="R39" s="667" t="s">
        <v>14</v>
      </c>
      <c r="S39" s="668">
        <f t="shared" si="10"/>
        <v>100</v>
      </c>
      <c r="T39" s="667" t="s">
        <v>14</v>
      </c>
      <c r="U39" s="668">
        <f t="shared" si="11"/>
        <v>100</v>
      </c>
      <c r="V39" s="667" t="s">
        <v>14</v>
      </c>
      <c r="W39" s="668">
        <f t="shared" si="12"/>
        <v>100</v>
      </c>
      <c r="X39" s="1265"/>
      <c r="Y39" s="336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66"/>
      <c r="Q40" s="1263">
        <f t="shared" si="14"/>
        <v>111</v>
      </c>
      <c r="R40" s="669" t="s">
        <v>14</v>
      </c>
      <c r="S40" s="670">
        <f t="shared" si="10"/>
        <v>100</v>
      </c>
      <c r="T40" s="669" t="s">
        <v>14</v>
      </c>
      <c r="U40" s="670">
        <f t="shared" si="11"/>
        <v>100</v>
      </c>
      <c r="V40" s="669" t="s">
        <v>14</v>
      </c>
      <c r="W40" s="670">
        <f t="shared" si="12"/>
        <v>100</v>
      </c>
      <c r="X40" s="671"/>
      <c r="Y40" s="336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59" t="str">
        <f>A41</f>
        <v>成交单价</v>
      </c>
      <c r="Q41" s="3359"/>
      <c r="R41" s="3360">
        <f>E41</f>
        <v>0</v>
      </c>
      <c r="S41" s="3360"/>
      <c r="T41" s="3360">
        <f>G41</f>
        <v>0</v>
      </c>
      <c r="U41" s="3360"/>
      <c r="V41" s="3360">
        <f>I41</f>
        <v>0</v>
      </c>
      <c r="W41" s="3360"/>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359" t="str">
        <f>A42</f>
        <v>比较价值（元/平方米）</v>
      </c>
      <c r="Q42" s="3359"/>
      <c r="R42" s="3418" t="e">
        <f>ROUND(PRODUCT(R41,AA7:AA40),0)</f>
        <v>#DIV/0!</v>
      </c>
      <c r="S42" s="3418"/>
      <c r="T42" s="3418" t="e">
        <f>ROUND(PRODUCT(T41,AB7:AB40),0)</f>
        <v>#DIV/0!</v>
      </c>
      <c r="U42" s="3418"/>
      <c r="V42" s="3418" t="e">
        <f>ROUND(PRODUCT(V41,AC7:AC40),0)</f>
        <v>#DIV/0!</v>
      </c>
      <c r="W42" s="341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56" t="str">
        <f>A43</f>
        <v>估价对象XX用房的比较价值（楼面单价，元/平方米）</v>
      </c>
      <c r="Q43" s="3357"/>
      <c r="R43" s="3419" t="e">
        <f>ROUND(IF(D42="简单平均",AVERAGE(R42:W42),R42*F42+T42*H42+V42*J42),0)</f>
        <v>#DIV/0!</v>
      </c>
      <c r="S43" s="3419"/>
      <c r="T43" s="3419"/>
      <c r="U43" s="3419"/>
      <c r="V43" s="3419"/>
      <c r="W43" s="341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74" t="s">
        <v>1887</v>
      </c>
      <c r="H50" s="342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2929.54</v>
      </c>
      <c r="F51" s="611" t="e">
        <f t="shared" ref="F51:F60" si="15">ROUND(B51*E51/10000,0)</f>
        <v>#DIV/0!</v>
      </c>
      <c r="G51" s="3370"/>
      <c r="H51" s="335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五级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五级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五级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五级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2386.36</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H3" sqref="H3"/>
      <selection pane="bottomLeft" activeCell="T23" sqref="T2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8" t="s">
        <v>2084</v>
      </c>
      <c r="D1" s="3429"/>
      <c r="E1" s="3429"/>
      <c r="F1" s="3429"/>
      <c r="G1" s="3429"/>
      <c r="H1" s="3429"/>
      <c r="I1" s="3429"/>
      <c r="J1" s="3429"/>
      <c r="K1" s="3429"/>
      <c r="L1" s="3429"/>
      <c r="M1" s="3429"/>
      <c r="N1" s="3429"/>
      <c r="O1" s="3429"/>
      <c r="P1" s="3429"/>
      <c r="Q1" s="3429"/>
      <c r="R1" s="3429"/>
      <c r="S1" s="3430"/>
      <c r="T1" s="929" t="s">
        <v>2085</v>
      </c>
    </row>
    <row r="2" spans="1:45" s="625" customFormat="1">
      <c r="A2" s="930"/>
      <c r="B2" s="622" t="s">
        <v>2086</v>
      </c>
      <c r="C2" s="14" t="str">
        <f t="shared" ref="C2:L2" si="0">C3&amp;"(含)"&amp;"-"&amp;D3</f>
        <v>0(含)-500</v>
      </c>
      <c r="D2" s="623" t="str">
        <f t="shared" si="0"/>
        <v>500(含)-1000</v>
      </c>
      <c r="E2" s="623" t="str">
        <f t="shared" si="0"/>
        <v>1000(含)-1500</v>
      </c>
      <c r="F2" s="623" t="str">
        <f t="shared" si="0"/>
        <v>1500(含)-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500</v>
      </c>
      <c r="E3" s="628">
        <v>1000</v>
      </c>
      <c r="F3" s="1220">
        <v>1500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v>99</v>
      </c>
      <c r="E4" s="936">
        <v>98</v>
      </c>
      <c r="F4" s="1224">
        <v>97</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v>1</v>
      </c>
      <c r="D17" s="954">
        <v>2</v>
      </c>
      <c r="E17" s="954">
        <v>3</v>
      </c>
      <c r="F17" s="954">
        <v>-1</v>
      </c>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v>100</v>
      </c>
      <c r="D18" s="965">
        <v>70</v>
      </c>
      <c r="E18" s="965">
        <v>60</v>
      </c>
      <c r="F18" s="965">
        <v>40</v>
      </c>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IF(D20="——",S22,S22-F20)</f>
        <v>9770</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ROUND(B20*10000/B22,0)</f>
        <v>25014</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3905.76</v>
      </c>
      <c r="C22" s="3425" t="s">
        <v>27</v>
      </c>
      <c r="D22" s="3426"/>
      <c r="E22" s="3426"/>
      <c r="F22" s="3426"/>
      <c r="G22" s="3426"/>
      <c r="H22" s="3426"/>
      <c r="I22" s="3426"/>
      <c r="J22" s="3426"/>
      <c r="K22" s="3426"/>
      <c r="L22" s="3426"/>
      <c r="M22" s="3426"/>
      <c r="N22" s="3426"/>
      <c r="O22" s="3426"/>
      <c r="P22" s="3426"/>
      <c r="Q22" s="3427"/>
      <c r="R22" s="21">
        <f>ROUND(S22*10000/B22,0)</f>
        <v>25014</v>
      </c>
      <c r="S22" s="21">
        <f>SUM(S24:S10000)</f>
        <v>9770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v>
      </c>
      <c r="B24" s="633">
        <f>'数据-基础表'!I13</f>
        <v>1330.07</v>
      </c>
      <c r="C24" s="2571">
        <v>1</v>
      </c>
      <c r="D24" s="2572"/>
      <c r="E24" s="2571">
        <v>1</v>
      </c>
      <c r="F24" s="2572"/>
      <c r="G24" s="2571">
        <v>1</v>
      </c>
      <c r="H24" s="2572"/>
      <c r="I24" s="2571">
        <v>1</v>
      </c>
      <c r="J24" s="2572"/>
      <c r="K24" s="2571">
        <v>1</v>
      </c>
      <c r="L24" s="2572"/>
      <c r="M24" s="2571">
        <v>1</v>
      </c>
      <c r="N24" s="2572"/>
      <c r="O24" s="2571">
        <v>1</v>
      </c>
      <c r="P24" s="2572">
        <v>1</v>
      </c>
      <c r="Q24" s="2571">
        <v>1</v>
      </c>
      <c r="R24" s="633">
        <f>'比较法-商业'!C48</f>
        <v>35000</v>
      </c>
      <c r="S24" s="634">
        <f t="shared" ref="S24:S54" si="11">ROUND(R24*B24/10000,0)</f>
        <v>4655</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2</v>
      </c>
      <c r="B25" s="633">
        <f>'数据-基础表'!I14</f>
        <v>968.83</v>
      </c>
      <c r="C25" s="21">
        <f>IF(B25="",1,(LOOKUP(B25,$3:$3,$4:$4)-LOOKUP($B$24,$3:$3,$4:$4)+100)/100)</f>
        <v>1.01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v>2</v>
      </c>
      <c r="Q25" s="21">
        <f>(SUMIF($17:$17,P25,$18:$18)-SUMIF($17:$17,$P$24,$18:$18)+100)/100</f>
        <v>0.7</v>
      </c>
      <c r="R25" s="21">
        <f>IF(B25="",0,ROUND($R$24*C25*E25*G25*I25*K25*M25*O25*Q25,0))</f>
        <v>24745</v>
      </c>
      <c r="S25" s="308">
        <f t="shared" si="11"/>
        <v>2397</v>
      </c>
    </row>
    <row r="26" spans="1:45">
      <c r="A26" s="142">
        <v>3</v>
      </c>
      <c r="B26" s="633">
        <f>'数据-基础表'!I15</f>
        <v>630.64</v>
      </c>
      <c r="C26" s="21">
        <f t="shared" ref="C26:C89" si="12">IF(B26="",1,(LOOKUP(B26,$3:$3,$4:$4)-LOOKUP($B$24,$3:$3,$4:$4)+100)/100)</f>
        <v>1.01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v>3</v>
      </c>
      <c r="Q26" s="21">
        <f t="shared" ref="Q26:Q89" si="19">(SUMIF($17:$17,P26,$18:$18)-SUMIF($17:$17,$P$24,$18:$18)+100)/100</f>
        <v>0.6</v>
      </c>
      <c r="R26" s="21">
        <f t="shared" ref="R26:R89" si="20">IF(B26="",0,ROUND($R$24*C26*E26*G26*I26*K26*M26*O26*Q26,0))</f>
        <v>21210</v>
      </c>
      <c r="S26" s="308">
        <f t="shared" si="11"/>
        <v>1338</v>
      </c>
    </row>
    <row r="27" spans="1:45">
      <c r="A27" s="142">
        <v>-1</v>
      </c>
      <c r="B27" s="52">
        <f>'数据-基础表'!K16</f>
        <v>976.22</v>
      </c>
      <c r="C27" s="21">
        <f t="shared" si="12"/>
        <v>1.01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v>-1</v>
      </c>
      <c r="Q27" s="21">
        <f t="shared" si="19"/>
        <v>0.4</v>
      </c>
      <c r="R27" s="21">
        <f t="shared" si="20"/>
        <v>14140</v>
      </c>
      <c r="S27" s="308">
        <f t="shared" si="11"/>
        <v>1380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0</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0</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0</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0</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0</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0</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0</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0</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0</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0</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0</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0</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0</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0</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0</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0</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0</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0</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0</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0</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0</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0</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0</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0</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0</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0</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0</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0</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0</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0</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0</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0</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0</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0</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0</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0</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0</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0</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0</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0</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0</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0</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0</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0</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0</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0</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0</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0</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0</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0</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0</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0</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0</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0</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0</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0</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0</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0</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0</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0</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0</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0</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0</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0</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0</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0</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0</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0</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0</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0</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0</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0</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0</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0</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0</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0</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0</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0</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0</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0</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0</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0</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0</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0</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0</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0</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0</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0</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0</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0</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0</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0</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0</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0</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0</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0</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0</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0</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0</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0</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0</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0</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0</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0</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0</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0</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0</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0</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0</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0</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0</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0</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0</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0</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0</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0</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0</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0</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0</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0</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0</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0</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0</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0</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0</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0</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0</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0</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0</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0</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0</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0</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0</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0</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0</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0</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0</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0</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0</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0</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0</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0</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0</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0</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0</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0</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0</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0</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0</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0</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0</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0</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0</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0</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0</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0</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0</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0</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0</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0</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0</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0</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0</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0</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0</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0</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0</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0</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0</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0</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0</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0</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0</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0</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0</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0</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0</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0</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0</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0</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0</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0</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0</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0</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0</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0</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0</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0</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0</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0</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0</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0</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0</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0</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0</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0</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0</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0</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0</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0</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0</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0</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0</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0</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0</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0</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0</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0</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0</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0</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0</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0</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0</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0</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0</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0</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0</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0</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0</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0</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0</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0</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0</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0</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0</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0</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0</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0</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0</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0</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0</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0</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0</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0</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0</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0</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0</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0</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0</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0</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0</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0</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0</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0</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0</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0</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0</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0</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0</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0</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0</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0</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0</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0</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0</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0</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0</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0</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0</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0</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0</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0</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0</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0</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0</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0</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0</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0</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0</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0</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0</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0</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0</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0</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0</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0</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0</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0</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0</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0</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0</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0</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0</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0</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0</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0</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0</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0</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0</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0</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0</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0</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0</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0</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0</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0</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0</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0</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0</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0</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0</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0</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0</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0</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0</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0</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0</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0</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0</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0</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0</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0</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0</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0</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0</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0</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0</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0</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0</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0</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0</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0</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0</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0</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0</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0</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0</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0</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0</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0</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0</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0</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0</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0</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0</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0</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0</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0</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0</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0</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0</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0</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0</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0</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0</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0</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0</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0</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0</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0</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0</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0</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0</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0</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0</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0</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0</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0</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0</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0</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0</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0</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0</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0</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0</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0</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0</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0</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0</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0</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0</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0</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0</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0</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0</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0</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0</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0</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0</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0</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0</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0</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0</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0</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0</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0</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0</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0</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0</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0</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0</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0</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0</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0</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0</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0</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0</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0</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0</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0</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0</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0</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0</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0</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0</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0</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0</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0</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0</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0</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0</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0</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0</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0</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0</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0</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0</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0</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0</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0</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0</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0</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0</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0</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0</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0</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0</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0</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0</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0</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0</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0</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0</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0</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0</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0</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0</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0</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0</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0</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0</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0</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0</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0</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0</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0</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0</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0</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0</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0</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0</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0</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0</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0</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0</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0</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0</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0</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0</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0</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0</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0</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0</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0</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0</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0</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0</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0</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0</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0</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0</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0</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0</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0</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0</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0</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0</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0</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0</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0</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0</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0</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0</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0</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0</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0</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0</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0</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0</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3868</v>
      </c>
      <c r="C2" s="1984" t="s">
        <v>2074</v>
      </c>
      <c r="D2" s="1984" t="s">
        <v>2075</v>
      </c>
      <c r="E2" s="2398">
        <f ca="1">SUMIF(E6:E13,"&lt;&gt;#ref!",E6:E13)</f>
        <v>976.22</v>
      </c>
      <c r="F2" s="2545"/>
      <c r="G2" s="2545"/>
      <c r="H2" s="2545"/>
      <c r="I2" s="2545"/>
      <c r="J2" s="2545"/>
      <c r="K2" s="2545"/>
      <c r="L2" s="2545"/>
      <c r="M2" s="2545"/>
      <c r="N2" s="2545"/>
      <c r="O2" s="2545"/>
      <c r="P2" s="2545"/>
    </row>
    <row r="3" spans="1:16" ht="15.75">
      <c r="A3" s="1984" t="s">
        <v>2076</v>
      </c>
      <c r="B3" s="2388">
        <f ca="1">ROUND(B2*10000/E2,0)</f>
        <v>39622</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3868</v>
      </c>
      <c r="C6" s="1984" t="s">
        <v>2074</v>
      </c>
      <c r="D6" s="2545"/>
      <c r="E6" s="2398">
        <f ca="1">SUMIF(INDIRECT("'"&amp;A6&amp;"'"&amp;"!C:C"),"建筑面积",INDIRECT("'"&amp;A6&amp;"'"&amp;"!D:D"))</f>
        <v>976.22</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E9720-C226-4003-B9FC-DAD84711DB44}">
  <dimension ref="A1"/>
  <sheetViews>
    <sheetView workbookViewId="0">
      <selection activeCell="J6" sqref="J6"/>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82093-07A4-4E1C-8B85-82B9C733BF34}">
  <dimension ref="A1"/>
  <sheetViews>
    <sheetView topLeftCell="I1" zoomScale="70" zoomScaleNormal="70" workbookViewId="0">
      <selection activeCell="AB41" sqref="AB41"/>
    </sheetView>
  </sheetViews>
  <sheetFormatPr defaultRowHeight="13.5"/>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2586</v>
      </c>
      <c r="B1" s="2812" t="s">
        <v>2587</v>
      </c>
      <c r="C1" s="2812" t="s">
        <v>2588</v>
      </c>
      <c r="D1" s="2812" t="s">
        <v>2589</v>
      </c>
      <c r="E1" s="2812" t="s">
        <v>2590</v>
      </c>
      <c r="F1" s="2812" t="s">
        <v>2591</v>
      </c>
      <c r="G1" s="2812" t="s">
        <v>2592</v>
      </c>
      <c r="H1" s="2812" t="s">
        <v>2593</v>
      </c>
      <c r="I1" s="2812" t="s">
        <v>2594</v>
      </c>
      <c r="J1" s="2812" t="s">
        <v>2595</v>
      </c>
      <c r="K1" s="2812" t="s">
        <v>2596</v>
      </c>
      <c r="L1" s="2812" t="s">
        <v>2597</v>
      </c>
      <c r="M1" s="2813" t="s">
        <v>2598</v>
      </c>
    </row>
    <row r="2" spans="1:13" ht="19.5" customHeight="1">
      <c r="A2" s="2815" t="s">
        <v>2599</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2600</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2601</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2602</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2603</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2604</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2605</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2606</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2607</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2608</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2609</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2610</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2611</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2612</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2613</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2614</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2615</v>
      </c>
      <c r="B18" s="2837"/>
      <c r="C18" s="2838"/>
      <c r="D18" s="2838"/>
      <c r="E18" s="2837"/>
      <c r="F18" s="2838"/>
      <c r="G18" s="2838"/>
    </row>
    <row r="19" spans="1:13" ht="19.5" customHeight="1" thickBot="1">
      <c r="A19" s="2835" t="s">
        <v>2616</v>
      </c>
      <c r="B19" s="2840" t="s">
        <v>2617</v>
      </c>
      <c r="C19" s="2840" t="s">
        <v>2618</v>
      </c>
      <c r="D19" s="2841"/>
      <c r="E19" s="2835" t="s">
        <v>2619</v>
      </c>
      <c r="F19" s="2842"/>
      <c r="G19" s="2842"/>
    </row>
    <row r="20" spans="1:13" ht="19.5" customHeight="1">
      <c r="A20" s="3459" t="s">
        <v>2599</v>
      </c>
      <c r="B20" s="3454" t="s">
        <v>2620</v>
      </c>
      <c r="C20" s="2843" t="s">
        <v>2431</v>
      </c>
      <c r="D20" s="2844"/>
      <c r="E20" s="2845">
        <v>1</v>
      </c>
      <c r="F20" s="2846" t="s">
        <v>2432</v>
      </c>
      <c r="G20" s="2846"/>
    </row>
    <row r="21" spans="1:13" ht="19.5" customHeight="1">
      <c r="A21" s="3460"/>
      <c r="B21" s="3453"/>
      <c r="C21" s="2847" t="s">
        <v>2433</v>
      </c>
      <c r="D21" s="2848"/>
      <c r="E21" s="2849">
        <v>1</v>
      </c>
      <c r="F21" s="2846" t="s">
        <v>2434</v>
      </c>
      <c r="G21" s="2846"/>
    </row>
    <row r="22" spans="1:13" ht="19.5" customHeight="1">
      <c r="A22" s="3460"/>
      <c r="B22" s="3453"/>
      <c r="C22" s="2847" t="s">
        <v>2435</v>
      </c>
      <c r="D22" s="2848"/>
      <c r="E22" s="2849">
        <v>0.9</v>
      </c>
      <c r="F22" s="2846" t="s">
        <v>2436</v>
      </c>
      <c r="G22" s="2846"/>
    </row>
    <row r="23" spans="1:13" ht="19.5" customHeight="1">
      <c r="A23" s="3460"/>
      <c r="B23" s="3453"/>
      <c r="C23" s="2847" t="s">
        <v>2437</v>
      </c>
      <c r="D23" s="2848"/>
      <c r="E23" s="2849">
        <v>0.9</v>
      </c>
      <c r="F23" s="2846" t="s">
        <v>2438</v>
      </c>
      <c r="G23" s="2846"/>
    </row>
    <row r="24" spans="1:13" ht="19.5" customHeight="1">
      <c r="A24" s="3460"/>
      <c r="B24" s="3453"/>
      <c r="C24" s="2847" t="s">
        <v>2439</v>
      </c>
      <c r="D24" s="2848"/>
      <c r="E24" s="2849">
        <v>0.8</v>
      </c>
      <c r="F24" s="2846" t="s">
        <v>2440</v>
      </c>
      <c r="G24" s="2846"/>
    </row>
    <row r="25" spans="1:13" ht="19.5" customHeight="1" thickBot="1">
      <c r="A25" s="3461"/>
      <c r="B25" s="3455"/>
      <c r="C25" s="2850" t="s">
        <v>2441</v>
      </c>
      <c r="D25" s="2851"/>
      <c r="E25" s="2852">
        <v>0.8</v>
      </c>
      <c r="F25" s="2846" t="s">
        <v>2442</v>
      </c>
      <c r="G25" s="2846"/>
    </row>
    <row r="26" spans="1:13" ht="19.5" customHeight="1" thickBot="1">
      <c r="A26" s="2853" t="s">
        <v>2621</v>
      </c>
      <c r="B26" s="2854" t="s">
        <v>2620</v>
      </c>
      <c r="C26" s="2855" t="s">
        <v>2622</v>
      </c>
      <c r="D26" s="2856"/>
      <c r="E26" s="2857">
        <v>1</v>
      </c>
      <c r="F26" s="2846" t="s">
        <v>2443</v>
      </c>
      <c r="G26" s="2846"/>
    </row>
    <row r="27" spans="1:13" ht="19.5" customHeight="1">
      <c r="A27" s="3456" t="s">
        <v>2623</v>
      </c>
      <c r="B27" s="3454" t="s">
        <v>2604</v>
      </c>
      <c r="C27" s="2843" t="s">
        <v>2444</v>
      </c>
      <c r="D27" s="2844"/>
      <c r="E27" s="2845">
        <v>1</v>
      </c>
      <c r="F27" s="2846" t="s">
        <v>2445</v>
      </c>
      <c r="G27" s="2846"/>
    </row>
    <row r="28" spans="1:13" ht="19.5" customHeight="1">
      <c r="A28" s="3457"/>
      <c r="B28" s="3453"/>
      <c r="C28" s="2847" t="s">
        <v>2446</v>
      </c>
      <c r="D28" s="2848"/>
      <c r="E28" s="2849">
        <v>1</v>
      </c>
      <c r="F28" s="2846" t="s">
        <v>2447</v>
      </c>
      <c r="G28" s="2846"/>
    </row>
    <row r="29" spans="1:13" ht="19.5" customHeight="1">
      <c r="A29" s="3457"/>
      <c r="B29" s="3453"/>
      <c r="C29" s="2847" t="s">
        <v>2448</v>
      </c>
      <c r="D29" s="2848"/>
      <c r="E29" s="2849">
        <v>0.8</v>
      </c>
      <c r="F29" s="2846" t="s">
        <v>2449</v>
      </c>
      <c r="G29" s="2846"/>
    </row>
    <row r="30" spans="1:13" ht="19.5" customHeight="1">
      <c r="A30" s="3457"/>
      <c r="B30" s="3453"/>
      <c r="C30" s="2847" t="s">
        <v>2450</v>
      </c>
      <c r="D30" s="2848"/>
      <c r="E30" s="2849">
        <v>0.8</v>
      </c>
      <c r="F30" s="2846" t="s">
        <v>2451</v>
      </c>
      <c r="G30" s="2846"/>
    </row>
    <row r="31" spans="1:13" ht="19.5" customHeight="1">
      <c r="A31" s="3457"/>
      <c r="B31" s="3453"/>
      <c r="C31" s="2847" t="s">
        <v>2452</v>
      </c>
      <c r="D31" s="2848"/>
      <c r="E31" s="2849">
        <v>0.8</v>
      </c>
      <c r="F31" s="2846" t="s">
        <v>2453</v>
      </c>
      <c r="G31" s="2846"/>
    </row>
    <row r="32" spans="1:13" ht="19.5" customHeight="1">
      <c r="A32" s="3457"/>
      <c r="B32" s="3453"/>
      <c r="C32" s="2847" t="s">
        <v>2454</v>
      </c>
      <c r="D32" s="2848"/>
      <c r="E32" s="2849">
        <v>0.7</v>
      </c>
      <c r="F32" s="2846" t="s">
        <v>2455</v>
      </c>
      <c r="G32" s="2846"/>
    </row>
    <row r="33" spans="1:7" ht="19.5" customHeight="1">
      <c r="A33" s="3457"/>
      <c r="B33" s="3453"/>
      <c r="C33" s="2847" t="s">
        <v>2456</v>
      </c>
      <c r="D33" s="2848"/>
      <c r="E33" s="2849">
        <v>0.8</v>
      </c>
      <c r="F33" s="2846" t="s">
        <v>2457</v>
      </c>
      <c r="G33" s="2846"/>
    </row>
    <row r="34" spans="1:7" ht="19.5" customHeight="1">
      <c r="A34" s="3457"/>
      <c r="B34" s="3453"/>
      <c r="C34" s="2847" t="s">
        <v>2458</v>
      </c>
      <c r="D34" s="2848"/>
      <c r="E34" s="2849">
        <v>0.6</v>
      </c>
      <c r="F34" s="2846" t="s">
        <v>2459</v>
      </c>
      <c r="G34" s="2846"/>
    </row>
    <row r="35" spans="1:7" ht="19.5" customHeight="1">
      <c r="A35" s="3457"/>
      <c r="B35" s="3453"/>
      <c r="C35" s="2847" t="s">
        <v>2460</v>
      </c>
      <c r="D35" s="2848"/>
      <c r="E35" s="2849">
        <v>0.2</v>
      </c>
      <c r="F35" s="2846" t="s">
        <v>2461</v>
      </c>
      <c r="G35" s="2846"/>
    </row>
    <row r="36" spans="1:7" ht="19.5" customHeight="1">
      <c r="A36" s="3457"/>
      <c r="B36" s="3453"/>
      <c r="C36" s="2847" t="s">
        <v>2462</v>
      </c>
      <c r="D36" s="2848"/>
      <c r="E36" s="2849">
        <v>0.2</v>
      </c>
      <c r="F36" s="2846" t="s">
        <v>2463</v>
      </c>
      <c r="G36" s="2846"/>
    </row>
    <row r="37" spans="1:7" ht="19.5" customHeight="1">
      <c r="A37" s="3457"/>
      <c r="B37" s="3451" t="s">
        <v>2624</v>
      </c>
      <c r="C37" s="2847" t="s">
        <v>2464</v>
      </c>
      <c r="D37" s="2848"/>
      <c r="E37" s="2849">
        <v>0.6</v>
      </c>
      <c r="F37" s="2846" t="s">
        <v>2465</v>
      </c>
      <c r="G37" s="2846"/>
    </row>
    <row r="38" spans="1:7" ht="19.5" customHeight="1">
      <c r="A38" s="3457"/>
      <c r="B38" s="3453"/>
      <c r="C38" s="2847" t="s">
        <v>2466</v>
      </c>
      <c r="D38" s="2848"/>
      <c r="E38" s="2849">
        <v>0.6</v>
      </c>
      <c r="F38" s="2846" t="s">
        <v>2467</v>
      </c>
      <c r="G38" s="2846"/>
    </row>
    <row r="39" spans="1:7" ht="19.5" customHeight="1" thickBot="1">
      <c r="A39" s="3458"/>
      <c r="B39" s="3455"/>
      <c r="C39" s="2850" t="s">
        <v>2468</v>
      </c>
      <c r="D39" s="2851"/>
      <c r="E39" s="2852">
        <v>0.6</v>
      </c>
      <c r="F39" s="2846" t="s">
        <v>2469</v>
      </c>
      <c r="G39" s="2846"/>
    </row>
    <row r="40" spans="1:7" ht="19.5" customHeight="1" thickBot="1">
      <c r="A40" s="2853" t="s">
        <v>2601</v>
      </c>
      <c r="B40" s="2854" t="s">
        <v>2601</v>
      </c>
      <c r="C40" s="2855" t="s">
        <v>2625</v>
      </c>
      <c r="D40" s="2856"/>
      <c r="E40" s="2857">
        <v>1</v>
      </c>
      <c r="F40" s="2846" t="s">
        <v>2470</v>
      </c>
      <c r="G40" s="2846"/>
    </row>
    <row r="41" spans="1:7" ht="19.5" customHeight="1">
      <c r="A41" s="3459" t="s">
        <v>2602</v>
      </c>
      <c r="B41" s="3454" t="s">
        <v>2626</v>
      </c>
      <c r="C41" s="2843" t="s">
        <v>2471</v>
      </c>
      <c r="D41" s="2844"/>
      <c r="E41" s="2845">
        <v>1</v>
      </c>
      <c r="F41" s="2846" t="s">
        <v>2472</v>
      </c>
      <c r="G41" s="2846"/>
    </row>
    <row r="42" spans="1:7" ht="19.5" customHeight="1">
      <c r="A42" s="3460"/>
      <c r="B42" s="3453"/>
      <c r="C42" s="2847" t="s">
        <v>2473</v>
      </c>
      <c r="D42" s="2848"/>
      <c r="E42" s="2849">
        <v>1</v>
      </c>
      <c r="F42" s="2846" t="s">
        <v>2474</v>
      </c>
      <c r="G42" s="2846"/>
    </row>
    <row r="43" spans="1:7" ht="19.5" customHeight="1">
      <c r="A43" s="3460"/>
      <c r="B43" s="3452"/>
      <c r="C43" s="2847" t="s">
        <v>2475</v>
      </c>
      <c r="D43" s="2848"/>
      <c r="E43" s="2849">
        <v>1.5</v>
      </c>
      <c r="F43" s="2846" t="s">
        <v>2476</v>
      </c>
      <c r="G43" s="2846"/>
    </row>
    <row r="44" spans="1:7" ht="19.5" customHeight="1">
      <c r="A44" s="3460"/>
      <c r="B44" s="2858" t="s">
        <v>2627</v>
      </c>
      <c r="C44" s="2847" t="s">
        <v>2628</v>
      </c>
      <c r="D44" s="2848"/>
      <c r="E44" s="2849">
        <v>2</v>
      </c>
      <c r="F44" s="2846" t="s">
        <v>2477</v>
      </c>
      <c r="G44" s="2846"/>
    </row>
    <row r="45" spans="1:7" ht="19.5" customHeight="1">
      <c r="A45" s="3460"/>
      <c r="B45" s="3451" t="s">
        <v>2629</v>
      </c>
      <c r="C45" s="2847" t="s">
        <v>2478</v>
      </c>
      <c r="D45" s="2848"/>
      <c r="E45" s="2849">
        <v>1</v>
      </c>
      <c r="F45" s="2846" t="s">
        <v>2479</v>
      </c>
      <c r="G45" s="2846"/>
    </row>
    <row r="46" spans="1:7" ht="19.5" customHeight="1">
      <c r="A46" s="3460"/>
      <c r="B46" s="3453"/>
      <c r="C46" s="2847" t="s">
        <v>2480</v>
      </c>
      <c r="D46" s="2848"/>
      <c r="E46" s="2849">
        <v>1</v>
      </c>
      <c r="F46" s="2846" t="s">
        <v>2481</v>
      </c>
      <c r="G46" s="2846"/>
    </row>
    <row r="47" spans="1:7" ht="19.5" customHeight="1">
      <c r="A47" s="3460"/>
      <c r="B47" s="3453"/>
      <c r="C47" s="2847" t="s">
        <v>2482</v>
      </c>
      <c r="D47" s="2848"/>
      <c r="E47" s="2849">
        <v>1</v>
      </c>
      <c r="F47" s="2846" t="s">
        <v>2483</v>
      </c>
      <c r="G47" s="2846"/>
    </row>
    <row r="48" spans="1:7" ht="19.5" customHeight="1">
      <c r="A48" s="3460"/>
      <c r="B48" s="3453"/>
      <c r="C48" s="2847" t="s">
        <v>2484</v>
      </c>
      <c r="D48" s="2848"/>
      <c r="E48" s="2849">
        <v>1</v>
      </c>
      <c r="F48" s="2846" t="s">
        <v>2485</v>
      </c>
      <c r="G48" s="2846"/>
    </row>
    <row r="49" spans="1:7" ht="19.5" customHeight="1">
      <c r="A49" s="3460"/>
      <c r="B49" s="3453"/>
      <c r="C49" s="2847" t="s">
        <v>2486</v>
      </c>
      <c r="D49" s="2848"/>
      <c r="E49" s="2849">
        <v>1</v>
      </c>
      <c r="F49" s="2846" t="s">
        <v>2487</v>
      </c>
      <c r="G49" s="2846"/>
    </row>
    <row r="50" spans="1:7" ht="19.5" customHeight="1">
      <c r="A50" s="3460"/>
      <c r="B50" s="3453"/>
      <c r="C50" s="2847" t="s">
        <v>2488</v>
      </c>
      <c r="D50" s="2848"/>
      <c r="E50" s="2849">
        <v>1</v>
      </c>
      <c r="F50" s="2846" t="s">
        <v>2489</v>
      </c>
      <c r="G50" s="2846"/>
    </row>
    <row r="51" spans="1:7" ht="19.5" customHeight="1" thickBot="1">
      <c r="A51" s="3461"/>
      <c r="B51" s="3455"/>
      <c r="C51" s="2850" t="s">
        <v>2490</v>
      </c>
      <c r="D51" s="2851"/>
      <c r="E51" s="2852">
        <v>1</v>
      </c>
      <c r="F51" s="2846" t="s">
        <v>2491</v>
      </c>
      <c r="G51" s="2846"/>
    </row>
    <row r="52" spans="1:7" ht="19.5" customHeight="1">
      <c r="A52" s="2859"/>
      <c r="B52" s="2859"/>
      <c r="C52" s="2859"/>
      <c r="D52" s="2859"/>
      <c r="E52" s="2859"/>
      <c r="F52" s="2859"/>
      <c r="G52" s="2859"/>
    </row>
    <row r="54" spans="1:7" ht="19.5" customHeight="1">
      <c r="A54" s="2860"/>
      <c r="B54" s="2832" t="s">
        <v>2630</v>
      </c>
      <c r="C54" s="2832" t="s">
        <v>2630</v>
      </c>
      <c r="D54" s="2832" t="s">
        <v>2630</v>
      </c>
      <c r="E54" s="2835" t="s">
        <v>2630</v>
      </c>
      <c r="F54" s="2835" t="s">
        <v>2631</v>
      </c>
      <c r="G54" s="2835" t="s">
        <v>2632</v>
      </c>
    </row>
    <row r="55" spans="1:7" ht="19.5" customHeight="1">
      <c r="A55" s="2861"/>
      <c r="B55" s="2835" t="s">
        <v>2599</v>
      </c>
      <c r="C55" s="2835" t="s">
        <v>2599</v>
      </c>
      <c r="D55" s="2835" t="s">
        <v>2599</v>
      </c>
      <c r="E55" s="2832" t="s">
        <v>2600</v>
      </c>
      <c r="F55" s="2832" t="s">
        <v>2602</v>
      </c>
      <c r="G55" s="2832" t="s">
        <v>2633</v>
      </c>
    </row>
    <row r="56" spans="1:7" ht="19.5" customHeight="1">
      <c r="A56" s="2862"/>
      <c r="B56" s="2832">
        <v>1</v>
      </c>
      <c r="C56" s="2832">
        <v>2</v>
      </c>
      <c r="D56" s="2832">
        <v>3</v>
      </c>
      <c r="E56" s="2863" t="s">
        <v>2634</v>
      </c>
      <c r="F56" s="2863" t="s">
        <v>2634</v>
      </c>
      <c r="G56" s="2863" t="s">
        <v>2634</v>
      </c>
    </row>
    <row r="57" spans="1:7" ht="19.5" customHeight="1">
      <c r="A57" s="2864" t="s">
        <v>2587</v>
      </c>
      <c r="B57" s="2832">
        <v>0.7</v>
      </c>
      <c r="C57" s="2832">
        <v>0.4</v>
      </c>
      <c r="D57" s="2832">
        <v>0.3</v>
      </c>
      <c r="E57" s="2863">
        <v>0.3</v>
      </c>
      <c r="F57" s="2832">
        <v>0.3</v>
      </c>
      <c r="G57" s="2832">
        <v>0.2</v>
      </c>
    </row>
    <row r="58" spans="1:7" ht="19.5" customHeight="1">
      <c r="A58" s="2864" t="s">
        <v>2588</v>
      </c>
      <c r="B58" s="2832">
        <v>0.7</v>
      </c>
      <c r="C58" s="2832">
        <v>0.4</v>
      </c>
      <c r="D58" s="2832">
        <v>0.3</v>
      </c>
      <c r="E58" s="2832">
        <v>0.3</v>
      </c>
      <c r="F58" s="2832">
        <v>0.3</v>
      </c>
      <c r="G58" s="2832">
        <v>0.2</v>
      </c>
    </row>
    <row r="59" spans="1:7" ht="19.5" customHeight="1">
      <c r="A59" s="2864" t="s">
        <v>2589</v>
      </c>
      <c r="B59" s="2832">
        <v>0.6</v>
      </c>
      <c r="C59" s="2832">
        <v>0.3</v>
      </c>
      <c r="D59" s="2832">
        <v>0.25</v>
      </c>
      <c r="E59" s="2832">
        <v>0.25</v>
      </c>
      <c r="F59" s="2832">
        <v>0.25</v>
      </c>
      <c r="G59" s="2832">
        <v>0.15</v>
      </c>
    </row>
    <row r="60" spans="1:7" ht="19.5" customHeight="1">
      <c r="A60" s="2864" t="s">
        <v>2590</v>
      </c>
      <c r="B60" s="2832">
        <v>0.6</v>
      </c>
      <c r="C60" s="2832">
        <v>0.3</v>
      </c>
      <c r="D60" s="2832">
        <v>0.25</v>
      </c>
      <c r="E60" s="2832">
        <v>0.25</v>
      </c>
      <c r="F60" s="2832">
        <v>0.25</v>
      </c>
      <c r="G60" s="2832">
        <v>0.15</v>
      </c>
    </row>
    <row r="61" spans="1:7" ht="19.5" customHeight="1">
      <c r="A61" s="2864" t="s">
        <v>2591</v>
      </c>
      <c r="B61" s="2832">
        <v>0.6</v>
      </c>
      <c r="C61" s="2832">
        <v>0.3</v>
      </c>
      <c r="D61" s="2832">
        <v>0.25</v>
      </c>
      <c r="E61" s="2832">
        <v>0.25</v>
      </c>
      <c r="F61" s="2832">
        <v>0.25</v>
      </c>
      <c r="G61" s="2832">
        <v>0.15</v>
      </c>
    </row>
    <row r="62" spans="1:7" ht="19.5" customHeight="1">
      <c r="A62" s="2864" t="s">
        <v>2592</v>
      </c>
      <c r="B62" s="2832">
        <v>0.6</v>
      </c>
      <c r="C62" s="2832">
        <v>0.3</v>
      </c>
      <c r="D62" s="2832">
        <v>0.25</v>
      </c>
      <c r="E62" s="2832">
        <v>0.25</v>
      </c>
      <c r="F62" s="2832">
        <v>0.25</v>
      </c>
      <c r="G62" s="2832">
        <v>0.15</v>
      </c>
    </row>
    <row r="63" spans="1:7" ht="19.5" customHeight="1">
      <c r="A63" s="2864" t="s">
        <v>2593</v>
      </c>
      <c r="B63" s="2832">
        <v>0.6</v>
      </c>
      <c r="C63" s="2832">
        <v>0.3</v>
      </c>
      <c r="D63" s="2832">
        <v>0.25</v>
      </c>
      <c r="E63" s="2832">
        <v>0.25</v>
      </c>
      <c r="F63" s="2832">
        <v>0.25</v>
      </c>
      <c r="G63" s="2832">
        <v>0.15</v>
      </c>
    </row>
    <row r="64" spans="1:7" ht="19.5" customHeight="1">
      <c r="A64" s="2864" t="s">
        <v>2594</v>
      </c>
      <c r="B64" s="2832">
        <v>0.5</v>
      </c>
      <c r="C64" s="2832">
        <v>0.2</v>
      </c>
      <c r="D64" s="2832">
        <v>0.2</v>
      </c>
      <c r="E64" s="2832">
        <v>0.2</v>
      </c>
      <c r="F64" s="2832">
        <v>0.2</v>
      </c>
      <c r="G64" s="2832">
        <v>0.1</v>
      </c>
    </row>
    <row r="65" spans="1:7" ht="19.5" customHeight="1">
      <c r="A65" s="2864" t="s">
        <v>2595</v>
      </c>
      <c r="B65" s="2832">
        <v>0.5</v>
      </c>
      <c r="C65" s="2832">
        <v>0.2</v>
      </c>
      <c r="D65" s="2832">
        <v>0.2</v>
      </c>
      <c r="E65" s="2832">
        <v>0.2</v>
      </c>
      <c r="F65" s="2832">
        <v>0.2</v>
      </c>
      <c r="G65" s="2832">
        <v>0.1</v>
      </c>
    </row>
    <row r="66" spans="1:7" ht="19.5" customHeight="1">
      <c r="A66" s="2864" t="s">
        <v>2596</v>
      </c>
      <c r="B66" s="2832">
        <v>0.5</v>
      </c>
      <c r="C66" s="2832">
        <v>0.2</v>
      </c>
      <c r="D66" s="2832">
        <v>0.2</v>
      </c>
      <c r="E66" s="2832">
        <v>0.2</v>
      </c>
      <c r="F66" s="2832">
        <v>0.2</v>
      </c>
      <c r="G66" s="2832">
        <v>0.1</v>
      </c>
    </row>
    <row r="67" spans="1:7" ht="19.5" customHeight="1">
      <c r="A67" s="2864" t="s">
        <v>2597</v>
      </c>
      <c r="B67" s="2832">
        <v>0.5</v>
      </c>
      <c r="C67" s="2832">
        <v>0.2</v>
      </c>
      <c r="D67" s="2832">
        <v>0.2</v>
      </c>
      <c r="E67" s="2832">
        <v>0.2</v>
      </c>
      <c r="F67" s="2832">
        <v>0.2</v>
      </c>
      <c r="G67" s="2832">
        <v>0.1</v>
      </c>
    </row>
    <row r="68" spans="1:7" ht="19.5" customHeight="1">
      <c r="A68" s="2864" t="s">
        <v>2598</v>
      </c>
      <c r="B68" s="2832">
        <v>0.5</v>
      </c>
      <c r="C68" s="2832">
        <v>0.2</v>
      </c>
      <c r="D68" s="2832">
        <v>0.2</v>
      </c>
      <c r="E68" s="2832">
        <v>0.2</v>
      </c>
      <c r="F68" s="2832">
        <v>0.2</v>
      </c>
      <c r="G68" s="2832">
        <v>0.1</v>
      </c>
    </row>
    <row r="70" spans="1:7" ht="19.5" customHeight="1">
      <c r="A70" s="2846"/>
      <c r="B70" s="2865"/>
      <c r="C70" s="2865"/>
      <c r="D70" s="2865" t="s">
        <v>2635</v>
      </c>
      <c r="E70" s="2865"/>
      <c r="F70" s="2865"/>
    </row>
    <row r="71" spans="1:7" ht="19.5" customHeight="1">
      <c r="A71" s="2858" t="s">
        <v>2636</v>
      </c>
      <c r="B71" s="2858" t="s">
        <v>2637</v>
      </c>
      <c r="C71" s="2858" t="s">
        <v>2638</v>
      </c>
      <c r="D71" s="2858" t="s">
        <v>2639</v>
      </c>
      <c r="E71" s="2858" t="s">
        <v>2640</v>
      </c>
      <c r="F71" s="2858" t="s">
        <v>2641</v>
      </c>
    </row>
    <row r="72" spans="1:7" ht="13.5">
      <c r="A72" s="2858"/>
      <c r="B72" s="2858"/>
      <c r="C72" s="2858" t="s">
        <v>2642</v>
      </c>
      <c r="D72" s="2858"/>
      <c r="E72" s="2858" t="s">
        <v>2613</v>
      </c>
      <c r="F72" s="2858" t="s">
        <v>2613</v>
      </c>
    </row>
    <row r="73" spans="1:7" ht="13.5">
      <c r="A73" s="2858">
        <v>1</v>
      </c>
      <c r="B73" s="3451" t="s">
        <v>2643</v>
      </c>
      <c r="C73" s="2832" t="s">
        <v>2644</v>
      </c>
      <c r="D73" s="2832" t="s">
        <v>2645</v>
      </c>
      <c r="E73" s="2858">
        <v>0.2</v>
      </c>
      <c r="F73" s="2858">
        <v>25</v>
      </c>
    </row>
    <row r="74" spans="1:7" ht="24">
      <c r="A74" s="2858">
        <v>2</v>
      </c>
      <c r="B74" s="3453"/>
      <c r="C74" s="2832" t="s">
        <v>2646</v>
      </c>
      <c r="D74" s="2832" t="s">
        <v>2647</v>
      </c>
      <c r="E74" s="2858">
        <v>0.2</v>
      </c>
      <c r="F74" s="2858">
        <v>25</v>
      </c>
    </row>
    <row r="75" spans="1:7" ht="24">
      <c r="A75" s="2858">
        <v>3</v>
      </c>
      <c r="B75" s="3453"/>
      <c r="C75" s="2832" t="s">
        <v>2648</v>
      </c>
      <c r="D75" s="2832" t="s">
        <v>2649</v>
      </c>
      <c r="E75" s="2858">
        <v>0.2</v>
      </c>
      <c r="F75" s="2858">
        <v>25</v>
      </c>
    </row>
    <row r="76" spans="1:7" ht="13.5">
      <c r="A76" s="2858">
        <v>4</v>
      </c>
      <c r="B76" s="3453"/>
      <c r="C76" s="2832" t="s">
        <v>2650</v>
      </c>
      <c r="D76" s="2832" t="s">
        <v>2651</v>
      </c>
      <c r="E76" s="2858">
        <v>0.15</v>
      </c>
      <c r="F76" s="2858">
        <v>20</v>
      </c>
    </row>
    <row r="77" spans="1:7" ht="24">
      <c r="A77" s="2858">
        <v>5</v>
      </c>
      <c r="B77" s="3453"/>
      <c r="C77" s="2832" t="s">
        <v>2652</v>
      </c>
      <c r="D77" s="2832" t="s">
        <v>2653</v>
      </c>
      <c r="E77" s="2858">
        <v>0.15</v>
      </c>
      <c r="F77" s="2858">
        <v>20</v>
      </c>
    </row>
    <row r="78" spans="1:7" ht="24">
      <c r="A78" s="2858">
        <v>6</v>
      </c>
      <c r="B78" s="3453"/>
      <c r="C78" s="2832" t="s">
        <v>2654</v>
      </c>
      <c r="D78" s="2832" t="s">
        <v>2655</v>
      </c>
      <c r="E78" s="2858">
        <v>0.15</v>
      </c>
      <c r="F78" s="2858">
        <v>20</v>
      </c>
    </row>
    <row r="79" spans="1:7" ht="24">
      <c r="A79" s="2858">
        <v>7</v>
      </c>
      <c r="B79" s="3453"/>
      <c r="C79" s="2832" t="s">
        <v>2656</v>
      </c>
      <c r="D79" s="2832" t="s">
        <v>2657</v>
      </c>
      <c r="E79" s="2858">
        <v>0.15</v>
      </c>
      <c r="F79" s="2858">
        <v>20</v>
      </c>
    </row>
    <row r="80" spans="1:7" ht="24">
      <c r="A80" s="2858">
        <v>8</v>
      </c>
      <c r="B80" s="3453"/>
      <c r="C80" s="2832" t="s">
        <v>2658</v>
      </c>
      <c r="D80" s="2832" t="s">
        <v>2659</v>
      </c>
      <c r="E80" s="2858">
        <v>0.1</v>
      </c>
      <c r="F80" s="2858">
        <v>15</v>
      </c>
    </row>
    <row r="81" spans="1:6" ht="24">
      <c r="A81" s="2858">
        <v>9</v>
      </c>
      <c r="B81" s="3453"/>
      <c r="C81" s="2832" t="s">
        <v>2660</v>
      </c>
      <c r="D81" s="2832" t="s">
        <v>2661</v>
      </c>
      <c r="E81" s="2858">
        <v>0.1</v>
      </c>
      <c r="F81" s="2858">
        <v>15</v>
      </c>
    </row>
    <row r="82" spans="1:6" ht="24">
      <c r="A82" s="2858">
        <v>10</v>
      </c>
      <c r="B82" s="3453"/>
      <c r="C82" s="2832" t="s">
        <v>2662</v>
      </c>
      <c r="D82" s="2832" t="s">
        <v>2663</v>
      </c>
      <c r="E82" s="2858">
        <v>0.1</v>
      </c>
      <c r="F82" s="2858">
        <v>15</v>
      </c>
    </row>
    <row r="83" spans="1:6" ht="24">
      <c r="A83" s="2858">
        <v>11</v>
      </c>
      <c r="B83" s="3453"/>
      <c r="C83" s="2832" t="s">
        <v>2664</v>
      </c>
      <c r="D83" s="2832" t="s">
        <v>2665</v>
      </c>
      <c r="E83" s="2858">
        <v>0.1</v>
      </c>
      <c r="F83" s="2858">
        <v>15</v>
      </c>
    </row>
    <row r="84" spans="1:6" ht="24">
      <c r="A84" s="2858">
        <v>12</v>
      </c>
      <c r="B84" s="3453"/>
      <c r="C84" s="2832" t="s">
        <v>2666</v>
      </c>
      <c r="D84" s="2832" t="s">
        <v>2667</v>
      </c>
      <c r="E84" s="2858">
        <v>0.1</v>
      </c>
      <c r="F84" s="2858">
        <v>15</v>
      </c>
    </row>
    <row r="85" spans="1:6" ht="13.5">
      <c r="A85" s="2858">
        <v>13</v>
      </c>
      <c r="B85" s="3453"/>
      <c r="C85" s="2832" t="s">
        <v>2668</v>
      </c>
      <c r="D85" s="2832" t="s">
        <v>2669</v>
      </c>
      <c r="E85" s="2858">
        <v>0.1</v>
      </c>
      <c r="F85" s="2858">
        <v>15</v>
      </c>
    </row>
    <row r="86" spans="1:6" ht="13.5">
      <c r="A86" s="2858">
        <v>14</v>
      </c>
      <c r="B86" s="3453"/>
      <c r="C86" s="2832" t="s">
        <v>2670</v>
      </c>
      <c r="D86" s="2832" t="s">
        <v>2671</v>
      </c>
      <c r="E86" s="2858">
        <v>0.1</v>
      </c>
      <c r="F86" s="2858">
        <v>15</v>
      </c>
    </row>
    <row r="87" spans="1:6" ht="13.5">
      <c r="A87" s="2858">
        <v>15</v>
      </c>
      <c r="B87" s="3453"/>
      <c r="C87" s="2832" t="s">
        <v>2672</v>
      </c>
      <c r="D87" s="2832" t="s">
        <v>2673</v>
      </c>
      <c r="E87" s="2858">
        <v>0.1</v>
      </c>
      <c r="F87" s="2858">
        <v>15</v>
      </c>
    </row>
    <row r="88" spans="1:6" ht="24">
      <c r="A88" s="2858">
        <v>16</v>
      </c>
      <c r="B88" s="3453"/>
      <c r="C88" s="2832" t="s">
        <v>2674</v>
      </c>
      <c r="D88" s="2832" t="s">
        <v>2675</v>
      </c>
      <c r="E88" s="2858">
        <v>0.1</v>
      </c>
      <c r="F88" s="2858">
        <v>15</v>
      </c>
    </row>
    <row r="89" spans="1:6" ht="24">
      <c r="A89" s="2858">
        <v>17</v>
      </c>
      <c r="B89" s="3452"/>
      <c r="C89" s="2832" t="s">
        <v>2676</v>
      </c>
      <c r="D89" s="2832" t="s">
        <v>2677</v>
      </c>
      <c r="E89" s="2858">
        <v>0.1</v>
      </c>
      <c r="F89" s="2858">
        <v>15</v>
      </c>
    </row>
    <row r="90" spans="1:6" ht="13.5">
      <c r="A90" s="2858">
        <v>18</v>
      </c>
      <c r="B90" s="3451" t="s">
        <v>2678</v>
      </c>
      <c r="C90" s="2832" t="s">
        <v>2679</v>
      </c>
      <c r="D90" s="2832" t="s">
        <v>2680</v>
      </c>
      <c r="E90" s="2858">
        <v>0.2</v>
      </c>
      <c r="F90" s="2858">
        <v>25</v>
      </c>
    </row>
    <row r="91" spans="1:6" ht="24">
      <c r="A91" s="2858">
        <v>19</v>
      </c>
      <c r="B91" s="3453"/>
      <c r="C91" s="2832" t="s">
        <v>2681</v>
      </c>
      <c r="D91" s="2832" t="s">
        <v>2682</v>
      </c>
      <c r="E91" s="2858">
        <v>0.2</v>
      </c>
      <c r="F91" s="2858">
        <v>25</v>
      </c>
    </row>
    <row r="92" spans="1:6" ht="13.5">
      <c r="A92" s="2858">
        <v>20</v>
      </c>
      <c r="B92" s="3453"/>
      <c r="C92" s="2832" t="s">
        <v>2683</v>
      </c>
      <c r="D92" s="2832" t="s">
        <v>2684</v>
      </c>
      <c r="E92" s="2858">
        <v>0.15</v>
      </c>
      <c r="F92" s="2858">
        <v>20</v>
      </c>
    </row>
    <row r="93" spans="1:6" ht="13.5">
      <c r="A93" s="2858">
        <v>21</v>
      </c>
      <c r="B93" s="3453"/>
      <c r="C93" s="2832" t="s">
        <v>2685</v>
      </c>
      <c r="D93" s="2832" t="s">
        <v>2686</v>
      </c>
      <c r="E93" s="2858">
        <v>0.15</v>
      </c>
      <c r="F93" s="2858">
        <v>20</v>
      </c>
    </row>
    <row r="94" spans="1:6" ht="13.5">
      <c r="A94" s="2858">
        <v>22</v>
      </c>
      <c r="B94" s="3453"/>
      <c r="C94" s="2832" t="s">
        <v>2687</v>
      </c>
      <c r="D94" s="2832" t="s">
        <v>2688</v>
      </c>
      <c r="E94" s="2858">
        <v>0.15</v>
      </c>
      <c r="F94" s="2858">
        <v>20</v>
      </c>
    </row>
    <row r="95" spans="1:6" ht="36">
      <c r="A95" s="2858">
        <v>23</v>
      </c>
      <c r="B95" s="3453"/>
      <c r="C95" s="2832" t="s">
        <v>2689</v>
      </c>
      <c r="D95" s="2832" t="s">
        <v>2690</v>
      </c>
      <c r="E95" s="2858">
        <v>0.15</v>
      </c>
      <c r="F95" s="2858">
        <v>20</v>
      </c>
    </row>
    <row r="96" spans="1:6" ht="13.5">
      <c r="A96" s="2858">
        <v>24</v>
      </c>
      <c r="B96" s="3453"/>
      <c r="C96" s="2832" t="s">
        <v>2691</v>
      </c>
      <c r="D96" s="2832" t="s">
        <v>2692</v>
      </c>
      <c r="E96" s="2858">
        <v>0.1</v>
      </c>
      <c r="F96" s="2858">
        <v>15</v>
      </c>
    </row>
    <row r="97" spans="1:6" ht="13.5">
      <c r="A97" s="2858">
        <v>25</v>
      </c>
      <c r="B97" s="3453"/>
      <c r="C97" s="2832" t="s">
        <v>2693</v>
      </c>
      <c r="D97" s="2832" t="s">
        <v>2694</v>
      </c>
      <c r="E97" s="2858">
        <v>0.1</v>
      </c>
      <c r="F97" s="2858">
        <v>15</v>
      </c>
    </row>
    <row r="98" spans="1:6" ht="24">
      <c r="A98" s="2858">
        <v>26</v>
      </c>
      <c r="B98" s="3453"/>
      <c r="C98" s="2832" t="s">
        <v>2695</v>
      </c>
      <c r="D98" s="2832" t="s">
        <v>2696</v>
      </c>
      <c r="E98" s="2858">
        <v>0.1</v>
      </c>
      <c r="F98" s="2858">
        <v>15</v>
      </c>
    </row>
    <row r="99" spans="1:6" ht="24">
      <c r="A99" s="2858">
        <v>27</v>
      </c>
      <c r="B99" s="3453"/>
      <c r="C99" s="2832" t="s">
        <v>2697</v>
      </c>
      <c r="D99" s="2832" t="s">
        <v>2698</v>
      </c>
      <c r="E99" s="2858">
        <v>0.1</v>
      </c>
      <c r="F99" s="2858">
        <v>15</v>
      </c>
    </row>
    <row r="100" spans="1:6" ht="13.5">
      <c r="A100" s="2858">
        <v>28</v>
      </c>
      <c r="B100" s="3453"/>
      <c r="C100" s="2832" t="s">
        <v>2699</v>
      </c>
      <c r="D100" s="2832" t="s">
        <v>2700</v>
      </c>
      <c r="E100" s="2858">
        <v>0.1</v>
      </c>
      <c r="F100" s="2858">
        <v>15</v>
      </c>
    </row>
    <row r="101" spans="1:6" ht="13.5">
      <c r="A101" s="2858">
        <v>29</v>
      </c>
      <c r="B101" s="3453"/>
      <c r="C101" s="2832" t="s">
        <v>2701</v>
      </c>
      <c r="D101" s="2832" t="s">
        <v>2702</v>
      </c>
      <c r="E101" s="2858">
        <v>0.1</v>
      </c>
      <c r="F101" s="2858">
        <v>15</v>
      </c>
    </row>
    <row r="102" spans="1:6" ht="13.5">
      <c r="A102" s="2858">
        <v>30</v>
      </c>
      <c r="B102" s="3453"/>
      <c r="C102" s="2832" t="s">
        <v>2703</v>
      </c>
      <c r="D102" s="2832" t="s">
        <v>2704</v>
      </c>
      <c r="E102" s="2858">
        <v>0.1</v>
      </c>
      <c r="F102" s="2858">
        <v>15</v>
      </c>
    </row>
    <row r="103" spans="1:6" ht="24">
      <c r="A103" s="2858">
        <v>31</v>
      </c>
      <c r="B103" s="3453"/>
      <c r="C103" s="2832" t="s">
        <v>2705</v>
      </c>
      <c r="D103" s="2832" t="s">
        <v>2706</v>
      </c>
      <c r="E103" s="2858">
        <v>0.1</v>
      </c>
      <c r="F103" s="2858">
        <v>15</v>
      </c>
    </row>
    <row r="104" spans="1:6" ht="24">
      <c r="A104" s="2858">
        <v>32</v>
      </c>
      <c r="B104" s="3453"/>
      <c r="C104" s="2832" t="s">
        <v>2707</v>
      </c>
      <c r="D104" s="2832" t="s">
        <v>2708</v>
      </c>
      <c r="E104" s="2858">
        <v>0.1</v>
      </c>
      <c r="F104" s="2858">
        <v>15</v>
      </c>
    </row>
    <row r="105" spans="1:6" ht="24">
      <c r="A105" s="2858">
        <v>33</v>
      </c>
      <c r="B105" s="3453"/>
      <c r="C105" s="2832" t="s">
        <v>2709</v>
      </c>
      <c r="D105" s="2832" t="s">
        <v>2710</v>
      </c>
      <c r="E105" s="2858">
        <v>0.1</v>
      </c>
      <c r="F105" s="2858">
        <v>15</v>
      </c>
    </row>
    <row r="106" spans="1:6" ht="24">
      <c r="A106" s="2858">
        <v>34</v>
      </c>
      <c r="B106" s="3452"/>
      <c r="C106" s="2832" t="s">
        <v>2711</v>
      </c>
      <c r="D106" s="2832" t="s">
        <v>2712</v>
      </c>
      <c r="E106" s="2858">
        <v>0.1</v>
      </c>
      <c r="F106" s="2858">
        <v>15</v>
      </c>
    </row>
    <row r="107" spans="1:6" ht="24">
      <c r="A107" s="2858">
        <v>35</v>
      </c>
      <c r="B107" s="3451" t="s">
        <v>2713</v>
      </c>
      <c r="C107" s="2858" t="s">
        <v>2714</v>
      </c>
      <c r="D107" s="2832" t="s">
        <v>2715</v>
      </c>
      <c r="E107" s="2858">
        <v>0.15</v>
      </c>
      <c r="F107" s="2858">
        <v>20</v>
      </c>
    </row>
    <row r="108" spans="1:6" ht="13.5">
      <c r="A108" s="2858">
        <v>36</v>
      </c>
      <c r="B108" s="3453"/>
      <c r="C108" s="2858" t="s">
        <v>2716</v>
      </c>
      <c r="D108" s="2832" t="s">
        <v>2717</v>
      </c>
      <c r="E108" s="2858">
        <v>0.15</v>
      </c>
      <c r="F108" s="2858">
        <v>20</v>
      </c>
    </row>
    <row r="109" spans="1:6" ht="13.5">
      <c r="A109" s="2858">
        <v>37</v>
      </c>
      <c r="B109" s="3453"/>
      <c r="C109" s="2858" t="s">
        <v>2718</v>
      </c>
      <c r="D109" s="2832" t="s">
        <v>2719</v>
      </c>
      <c r="E109" s="2858">
        <v>0.15</v>
      </c>
      <c r="F109" s="2858">
        <v>20</v>
      </c>
    </row>
    <row r="110" spans="1:6" ht="13.5">
      <c r="A110" s="2858">
        <v>38</v>
      </c>
      <c r="B110" s="3453"/>
      <c r="C110" s="2858" t="s">
        <v>2720</v>
      </c>
      <c r="D110" s="2832" t="s">
        <v>2721</v>
      </c>
      <c r="E110" s="2858">
        <v>0.1</v>
      </c>
      <c r="F110" s="2858">
        <v>15</v>
      </c>
    </row>
    <row r="111" spans="1:6" ht="24">
      <c r="A111" s="2858">
        <v>39</v>
      </c>
      <c r="B111" s="3453"/>
      <c r="C111" s="2858" t="s">
        <v>2722</v>
      </c>
      <c r="D111" s="2832" t="s">
        <v>2723</v>
      </c>
      <c r="E111" s="2858">
        <v>0.1</v>
      </c>
      <c r="F111" s="2858">
        <v>15</v>
      </c>
    </row>
    <row r="112" spans="1:6" ht="24">
      <c r="A112" s="2858">
        <v>40</v>
      </c>
      <c r="B112" s="3452"/>
      <c r="C112" s="2858" t="s">
        <v>2724</v>
      </c>
      <c r="D112" s="2832" t="s">
        <v>2725</v>
      </c>
      <c r="E112" s="2858">
        <v>0.1</v>
      </c>
      <c r="F112" s="2858">
        <v>15</v>
      </c>
    </row>
    <row r="113" spans="1:6" ht="13.5">
      <c r="A113" s="2858">
        <v>41</v>
      </c>
      <c r="B113" s="3450" t="s">
        <v>2726</v>
      </c>
      <c r="C113" s="2858" t="s">
        <v>2727</v>
      </c>
      <c r="D113" s="2832" t="s">
        <v>2728</v>
      </c>
      <c r="E113" s="2858">
        <v>0.1</v>
      </c>
      <c r="F113" s="2858">
        <v>15</v>
      </c>
    </row>
    <row r="114" spans="1:6" ht="13.5">
      <c r="A114" s="2858">
        <v>42</v>
      </c>
      <c r="B114" s="3450"/>
      <c r="C114" s="2858" t="s">
        <v>2729</v>
      </c>
      <c r="D114" s="2832" t="s">
        <v>2730</v>
      </c>
      <c r="E114" s="2858">
        <v>0.1</v>
      </c>
      <c r="F114" s="2858">
        <v>15</v>
      </c>
    </row>
    <row r="115" spans="1:6" ht="24">
      <c r="A115" s="2858">
        <v>43</v>
      </c>
      <c r="B115" s="3450"/>
      <c r="C115" s="2858" t="s">
        <v>2731</v>
      </c>
      <c r="D115" s="2832" t="s">
        <v>2732</v>
      </c>
      <c r="E115" s="2858">
        <v>0.1</v>
      </c>
      <c r="F115" s="2858">
        <v>15</v>
      </c>
    </row>
    <row r="116" spans="1:6" ht="13.5">
      <c r="A116" s="2858">
        <v>44</v>
      </c>
      <c r="B116" s="3451" t="s">
        <v>2733</v>
      </c>
      <c r="C116" s="2858" t="s">
        <v>2734</v>
      </c>
      <c r="D116" s="2832" t="s">
        <v>2735</v>
      </c>
      <c r="E116" s="2858">
        <v>0.1</v>
      </c>
      <c r="F116" s="2858">
        <v>15</v>
      </c>
    </row>
    <row r="117" spans="1:6" ht="24">
      <c r="A117" s="2858">
        <v>45</v>
      </c>
      <c r="B117" s="3452"/>
      <c r="C117" s="2832" t="s">
        <v>2736</v>
      </c>
      <c r="D117" s="2832" t="s">
        <v>2737</v>
      </c>
      <c r="E117" s="2858">
        <v>0.1</v>
      </c>
      <c r="F117" s="2858">
        <v>15</v>
      </c>
    </row>
    <row r="118" spans="1:6" ht="24">
      <c r="A118" s="2858">
        <v>46</v>
      </c>
      <c r="B118" s="3451" t="s">
        <v>2738</v>
      </c>
      <c r="C118" s="2858" t="s">
        <v>2739</v>
      </c>
      <c r="D118" s="2832" t="s">
        <v>2740</v>
      </c>
      <c r="E118" s="2858">
        <v>0.1</v>
      </c>
      <c r="F118" s="2858">
        <v>15</v>
      </c>
    </row>
    <row r="119" spans="1:6" ht="24">
      <c r="A119" s="2858">
        <v>47</v>
      </c>
      <c r="B119" s="3452"/>
      <c r="C119" s="2858" t="s">
        <v>2741</v>
      </c>
      <c r="D119" s="2832" t="s">
        <v>2742</v>
      </c>
      <c r="E119" s="2858">
        <v>0.1</v>
      </c>
      <c r="F119" s="2858">
        <v>15</v>
      </c>
    </row>
    <row r="120" spans="1:6" ht="13.5">
      <c r="A120" s="2858">
        <v>48</v>
      </c>
      <c r="B120" s="3451" t="s">
        <v>2743</v>
      </c>
      <c r="C120" s="2858" t="s">
        <v>2744</v>
      </c>
      <c r="D120" s="2832" t="s">
        <v>2745</v>
      </c>
      <c r="E120" s="2858">
        <v>0.1</v>
      </c>
      <c r="F120" s="2858">
        <v>15</v>
      </c>
    </row>
    <row r="121" spans="1:6" ht="13.5">
      <c r="A121" s="2858">
        <v>49</v>
      </c>
      <c r="B121" s="3452"/>
      <c r="C121" s="2858" t="s">
        <v>2746</v>
      </c>
      <c r="D121" s="2832" t="s">
        <v>2747</v>
      </c>
      <c r="E121" s="2858">
        <v>0.1</v>
      </c>
      <c r="F121" s="2858">
        <v>15</v>
      </c>
    </row>
    <row r="122" spans="1:6" ht="24">
      <c r="A122" s="2858">
        <v>50</v>
      </c>
      <c r="B122" s="3450" t="s">
        <v>2748</v>
      </c>
      <c r="C122" s="2858" t="s">
        <v>2749</v>
      </c>
      <c r="D122" s="2832" t="s">
        <v>2750</v>
      </c>
      <c r="E122" s="2858">
        <v>0.1</v>
      </c>
      <c r="F122" s="2858">
        <v>15</v>
      </c>
    </row>
    <row r="123" spans="1:6" ht="24">
      <c r="A123" s="2858">
        <v>51</v>
      </c>
      <c r="B123" s="3450"/>
      <c r="C123" s="2858" t="s">
        <v>2751</v>
      </c>
      <c r="D123" s="2832" t="s">
        <v>2752</v>
      </c>
      <c r="E123" s="2858">
        <v>0.1</v>
      </c>
      <c r="F123" s="2858">
        <v>15</v>
      </c>
    </row>
    <row r="124" spans="1:6" ht="24">
      <c r="A124" s="2858">
        <v>52</v>
      </c>
      <c r="B124" s="3450" t="s">
        <v>2753</v>
      </c>
      <c r="C124" s="2858" t="s">
        <v>2754</v>
      </c>
      <c r="D124" s="2832" t="s">
        <v>2755</v>
      </c>
      <c r="E124" s="2858">
        <v>0.1</v>
      </c>
      <c r="F124" s="2858">
        <v>15</v>
      </c>
    </row>
    <row r="125" spans="1:6" ht="24">
      <c r="A125" s="2858">
        <v>53</v>
      </c>
      <c r="B125" s="3450"/>
      <c r="C125" s="2858" t="s">
        <v>2756</v>
      </c>
      <c r="D125" s="2832" t="s">
        <v>2757</v>
      </c>
      <c r="E125" s="2858">
        <v>0.1</v>
      </c>
      <c r="F125" s="2858">
        <v>15</v>
      </c>
    </row>
    <row r="126" spans="1:6" ht="13.5">
      <c r="A126" s="2858">
        <v>54</v>
      </c>
      <c r="B126" s="2858" t="s">
        <v>2758</v>
      </c>
      <c r="C126" s="2858" t="s">
        <v>2759</v>
      </c>
      <c r="D126" s="2832" t="s">
        <v>2760</v>
      </c>
      <c r="E126" s="2858">
        <v>0.1</v>
      </c>
      <c r="F126" s="2858">
        <v>15</v>
      </c>
    </row>
    <row r="127" spans="1:6" ht="13.5">
      <c r="A127" s="2858">
        <v>55</v>
      </c>
      <c r="B127" s="3450" t="s">
        <v>2761</v>
      </c>
      <c r="C127" s="2858" t="s">
        <v>2762</v>
      </c>
      <c r="D127" s="2832" t="s">
        <v>2763</v>
      </c>
      <c r="E127" s="2858">
        <v>0.1</v>
      </c>
      <c r="F127" s="2858">
        <v>15</v>
      </c>
    </row>
    <row r="128" spans="1:6" ht="13.5">
      <c r="A128" s="2858">
        <v>56</v>
      </c>
      <c r="B128" s="3450"/>
      <c r="C128" s="2858" t="s">
        <v>2764</v>
      </c>
      <c r="D128" s="2832" t="s">
        <v>2765</v>
      </c>
      <c r="E128" s="2858">
        <v>0.1</v>
      </c>
      <c r="F128" s="2858">
        <v>15</v>
      </c>
    </row>
    <row r="129" spans="1:6" ht="24">
      <c r="A129" s="2858">
        <v>57</v>
      </c>
      <c r="B129" s="3450"/>
      <c r="C129" s="2858" t="s">
        <v>2766</v>
      </c>
      <c r="D129" s="2832" t="s">
        <v>2767</v>
      </c>
      <c r="E129" s="2858">
        <v>0.1</v>
      </c>
      <c r="F129" s="2858">
        <v>15</v>
      </c>
    </row>
    <row r="130" spans="1:6" ht="24">
      <c r="A130" s="2858">
        <v>58</v>
      </c>
      <c r="B130" s="3450" t="s">
        <v>2768</v>
      </c>
      <c r="C130" s="2858" t="s">
        <v>2769</v>
      </c>
      <c r="D130" s="2832" t="s">
        <v>2770</v>
      </c>
      <c r="E130" s="2858">
        <v>0.1</v>
      </c>
      <c r="F130" s="2858">
        <v>15</v>
      </c>
    </row>
    <row r="131" spans="1:6" ht="13.5">
      <c r="A131" s="2858">
        <v>59</v>
      </c>
      <c r="B131" s="3450"/>
      <c r="C131" s="2858" t="s">
        <v>2771</v>
      </c>
      <c r="D131" s="2832" t="s">
        <v>2772</v>
      </c>
      <c r="E131" s="2858">
        <v>0.1</v>
      </c>
      <c r="F131" s="2858">
        <v>15</v>
      </c>
    </row>
    <row r="132" spans="1:6" ht="13.5">
      <c r="A132" s="2858">
        <v>60</v>
      </c>
      <c r="B132" s="3451" t="s">
        <v>2773</v>
      </c>
      <c r="C132" s="2858" t="s">
        <v>2774</v>
      </c>
      <c r="D132" s="2832" t="s">
        <v>2775</v>
      </c>
      <c r="E132" s="2858">
        <v>0.1</v>
      </c>
      <c r="F132" s="2858">
        <v>15</v>
      </c>
    </row>
    <row r="133" spans="1:6" ht="13.5">
      <c r="A133" s="2858">
        <v>61</v>
      </c>
      <c r="B133" s="3452"/>
      <c r="C133" s="2858" t="s">
        <v>2776</v>
      </c>
      <c r="D133" s="2832" t="s">
        <v>2777</v>
      </c>
      <c r="E133" s="2858">
        <v>0.1</v>
      </c>
      <c r="F133" s="2858">
        <v>15</v>
      </c>
    </row>
    <row r="134" spans="1:6" ht="24">
      <c r="A134" s="2858">
        <v>62</v>
      </c>
      <c r="B134" s="2858" t="s">
        <v>2778</v>
      </c>
      <c r="C134" s="2858" t="s">
        <v>2779</v>
      </c>
      <c r="D134" s="2832" t="s">
        <v>2780</v>
      </c>
      <c r="E134" s="2858">
        <v>0.1</v>
      </c>
      <c r="F134" s="2858">
        <v>15</v>
      </c>
    </row>
    <row r="135" spans="1:6" ht="13.5">
      <c r="A135" s="2858">
        <v>63</v>
      </c>
      <c r="B135" s="3450" t="s">
        <v>2781</v>
      </c>
      <c r="C135" s="2858" t="s">
        <v>2782</v>
      </c>
      <c r="D135" s="2832" t="s">
        <v>2783</v>
      </c>
      <c r="E135" s="2858">
        <v>0.1</v>
      </c>
      <c r="F135" s="2858">
        <v>15</v>
      </c>
    </row>
    <row r="136" spans="1:6" ht="13.5">
      <c r="A136" s="2858">
        <v>64</v>
      </c>
      <c r="B136" s="3450"/>
      <c r="C136" s="2858" t="s">
        <v>2784</v>
      </c>
      <c r="D136" s="2832" t="s">
        <v>2785</v>
      </c>
      <c r="E136" s="2858">
        <v>0.1</v>
      </c>
      <c r="F136" s="2858">
        <v>15</v>
      </c>
    </row>
    <row r="137" spans="1:6" ht="13.5">
      <c r="A137" s="2858">
        <v>65</v>
      </c>
      <c r="B137" s="2858" t="s">
        <v>2786</v>
      </c>
      <c r="C137" s="2858" t="s">
        <v>2787</v>
      </c>
      <c r="D137" s="2832" t="s">
        <v>2788</v>
      </c>
      <c r="E137" s="2858">
        <v>0.1</v>
      </c>
      <c r="F137" s="2858">
        <v>15</v>
      </c>
    </row>
    <row r="138" spans="1:6" ht="13.5">
      <c r="A138" s="2858"/>
      <c r="B138" s="2858"/>
      <c r="C138" s="2858"/>
      <c r="D138" s="2858"/>
      <c r="E138" s="2858" t="s">
        <v>2789</v>
      </c>
      <c r="F138" s="2858"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0"/>
      <c r="C2" s="3150"/>
      <c r="D2" s="3150"/>
      <c r="E2" s="3150"/>
    </row>
    <row r="3" spans="1:5" ht="18">
      <c r="A3" s="3151" t="str">
        <f>IF(项目基本情况!B9="房地产市场价值","估价结果一览表（市场价值不需“结果表-1”）","估价结果一览表")</f>
        <v>估价结果一览表</v>
      </c>
      <c r="B3" s="3151"/>
      <c r="C3" s="3151"/>
      <c r="D3" s="3151"/>
      <c r="E3" s="3151"/>
    </row>
    <row r="4" spans="1:5" ht="19.5" thickBot="1">
      <c r="A4" s="1391"/>
      <c r="B4" s="3149" t="s">
        <v>917</v>
      </c>
      <c r="C4" s="3149"/>
      <c r="D4" s="3149"/>
      <c r="E4" s="1391"/>
    </row>
    <row r="5" spans="1:5" ht="16.5" thickTop="1">
      <c r="B5" s="3147" t="s">
        <v>909</v>
      </c>
      <c r="C5" s="1392" t="s">
        <v>910</v>
      </c>
      <c r="D5" s="797" t="e">
        <f ca="1">结果表!H101</f>
        <v>#REF!</v>
      </c>
    </row>
    <row r="6" spans="1:5" ht="15.75">
      <c r="B6" s="3147"/>
      <c r="C6" s="1392" t="s">
        <v>911</v>
      </c>
      <c r="D6" s="797" t="e">
        <f ca="1">NUMBERSTRING(INT(D5*10000),2)&amp;"元整"</f>
        <v>#REF!</v>
      </c>
    </row>
    <row r="7" spans="1:5" ht="15.75">
      <c r="B7" s="3152"/>
      <c r="C7" s="1393" t="s">
        <v>912</v>
      </c>
      <c r="D7" s="798" t="e">
        <f ca="1">结果表!H102</f>
        <v>#REF!</v>
      </c>
    </row>
    <row r="8" spans="1:5" ht="15.75">
      <c r="B8" s="3153" t="str">
        <f>结果表!E103</f>
        <v>2.估价师知悉的法定优先受偿款</v>
      </c>
      <c r="C8" s="1394" t="s">
        <v>913</v>
      </c>
      <c r="D8" s="798">
        <f>结果表!H103</f>
        <v>0</v>
      </c>
    </row>
    <row r="9" spans="1:5" ht="15.75">
      <c r="B9" s="315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6" t="str">
        <f>结果表!E107</f>
        <v>3.房地产抵押价值</v>
      </c>
      <c r="C13" s="1397" t="s">
        <v>910</v>
      </c>
      <c r="D13" s="800" t="e">
        <f ca="1">结果表!H107</f>
        <v>#REF!</v>
      </c>
    </row>
    <row r="14" spans="1:5" ht="15.75">
      <c r="B14" s="3147"/>
      <c r="C14" s="1392" t="s">
        <v>911</v>
      </c>
      <c r="D14" s="797" t="e">
        <f ca="1">NUMBERSTRING(INT(D13*10000),2)&amp;"元整"</f>
        <v>#REF!</v>
      </c>
    </row>
    <row r="15" spans="1:5" ht="15">
      <c r="B15" s="3152"/>
      <c r="C15" s="1393" t="s">
        <v>921</v>
      </c>
      <c r="D15" s="806" t="e">
        <f ca="1">结果表!H108</f>
        <v>#REF!</v>
      </c>
    </row>
    <row r="16" spans="1:5" ht="15">
      <c r="B16" s="3153" t="str">
        <f>结果表!E109</f>
        <v>——</v>
      </c>
      <c r="C16" s="1397" t="s">
        <v>922</v>
      </c>
      <c r="D16" s="1398" t="str">
        <f>结果表!H109</f>
        <v>——</v>
      </c>
    </row>
    <row r="17" spans="1:5" ht="15.75">
      <c r="B17" s="3154"/>
      <c r="C17" s="1392" t="s">
        <v>923</v>
      </c>
      <c r="D17" s="797" t="e">
        <f>NUMBERSTRING(INT(D16*10000),2)&amp;"元整"</f>
        <v>#VALUE!</v>
      </c>
    </row>
    <row r="18" spans="1:5" ht="15">
      <c r="B18" s="3155"/>
      <c r="C18" s="1393" t="s">
        <v>912</v>
      </c>
      <c r="D18" s="806" t="str">
        <f>结果表!H110</f>
        <v>——</v>
      </c>
    </row>
    <row r="19" spans="1:5" ht="15.75">
      <c r="B19" s="3146" t="str">
        <f>结果表!E111</f>
        <v>——</v>
      </c>
      <c r="C19" s="1397" t="s">
        <v>910</v>
      </c>
      <c r="D19" s="798" t="str">
        <f>结果表!H111</f>
        <v>——</v>
      </c>
    </row>
    <row r="20" spans="1:5" ht="15.75">
      <c r="B20" s="3147"/>
      <c r="C20" s="1392" t="s">
        <v>923</v>
      </c>
      <c r="D20" s="797" t="e">
        <f>NUMBERSTRING(INT(D19*10000),2)&amp;"元整"</f>
        <v>#VALUE!</v>
      </c>
    </row>
    <row r="21" spans="1:5" ht="15.75" thickBot="1">
      <c r="B21" s="314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2790</v>
      </c>
      <c r="B1" s="2866"/>
      <c r="C1" s="2866"/>
      <c r="D1" s="2866"/>
      <c r="E1" s="2866"/>
      <c r="F1" s="2866"/>
      <c r="G1" s="2866"/>
      <c r="H1" s="2866"/>
      <c r="I1" s="2866"/>
      <c r="J1" s="2866"/>
      <c r="K1" s="2866"/>
      <c r="L1" s="2866"/>
      <c r="M1" s="2866"/>
      <c r="N1" s="707"/>
    </row>
    <row r="2" spans="1:20">
      <c r="A2" s="2867" t="s">
        <v>2791</v>
      </c>
      <c r="B2" s="2868" t="s">
        <v>2587</v>
      </c>
      <c r="C2" s="2868" t="s">
        <v>2588</v>
      </c>
      <c r="D2" s="2868" t="s">
        <v>2589</v>
      </c>
      <c r="E2" s="2868" t="s">
        <v>2590</v>
      </c>
      <c r="F2" s="2868" t="s">
        <v>2591</v>
      </c>
      <c r="G2" s="2868" t="s">
        <v>2592</v>
      </c>
      <c r="H2" s="2869" t="s">
        <v>2593</v>
      </c>
      <c r="I2" s="2869" t="s">
        <v>2594</v>
      </c>
      <c r="J2" s="2870" t="s">
        <v>2595</v>
      </c>
      <c r="K2" s="2870" t="s">
        <v>2596</v>
      </c>
      <c r="L2" s="2870" t="s">
        <v>2597</v>
      </c>
      <c r="M2" s="2871" t="s">
        <v>2598</v>
      </c>
      <c r="Q2" s="2881" t="s">
        <v>2796</v>
      </c>
      <c r="R2" s="2881" t="s">
        <v>2797</v>
      </c>
      <c r="S2" s="2881" t="s">
        <v>2798</v>
      </c>
      <c r="T2" s="2881" t="s">
        <v>2799</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2792</v>
      </c>
      <c r="B93" s="2866"/>
      <c r="C93" s="2866"/>
      <c r="D93" s="2866"/>
      <c r="E93" s="2866"/>
      <c r="F93" s="2866"/>
      <c r="G93" s="2866"/>
      <c r="H93" s="2866"/>
      <c r="I93" s="2866"/>
      <c r="J93" s="2866"/>
      <c r="K93" s="2866"/>
      <c r="L93" s="2866"/>
      <c r="M93" s="2866"/>
    </row>
    <row r="94" spans="1:20">
      <c r="A94" s="2867" t="s">
        <v>2791</v>
      </c>
      <c r="B94" s="2868" t="s">
        <v>2587</v>
      </c>
      <c r="C94" s="2868" t="s">
        <v>2588</v>
      </c>
      <c r="D94" s="2868" t="s">
        <v>2589</v>
      </c>
      <c r="E94" s="2868" t="s">
        <v>2590</v>
      </c>
      <c r="F94" s="2868" t="s">
        <v>2591</v>
      </c>
      <c r="G94" s="2868" t="s">
        <v>2592</v>
      </c>
      <c r="H94" s="2869" t="s">
        <v>2593</v>
      </c>
      <c r="I94" s="2869" t="s">
        <v>2594</v>
      </c>
      <c r="J94" s="2870" t="s">
        <v>2595</v>
      </c>
      <c r="K94" s="2870" t="s">
        <v>2596</v>
      </c>
      <c r="L94" s="2870" t="s">
        <v>2597</v>
      </c>
      <c r="M94" s="2871" t="s">
        <v>2598</v>
      </c>
      <c r="N94">
        <f>SUMPRODUCT((A95:A184=ROUNDDOWN(基准地价修正!G3,1))*(B94:M94=基准地价修正!G2)*(B95:M184))</f>
        <v>0</v>
      </c>
      <c r="Q94" s="2881" t="s">
        <v>2796</v>
      </c>
      <c r="R94" s="2881" t="s">
        <v>2797</v>
      </c>
      <c r="S94" s="2881" t="s">
        <v>2798</v>
      </c>
      <c r="T94" s="2881" t="s">
        <v>2799</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2793</v>
      </c>
      <c r="B185" s="2866"/>
      <c r="C185" s="2866"/>
      <c r="D185" s="2866"/>
      <c r="E185" s="2866"/>
      <c r="F185" s="2866"/>
      <c r="G185" s="2866"/>
      <c r="H185" s="2866"/>
      <c r="I185" s="2866"/>
      <c r="J185" s="2866"/>
      <c r="K185" s="2866"/>
      <c r="L185" s="2866"/>
      <c r="M185" s="2866"/>
    </row>
    <row r="186" spans="1:20">
      <c r="A186" s="2867" t="s">
        <v>2791</v>
      </c>
      <c r="B186" s="2868" t="s">
        <v>2587</v>
      </c>
      <c r="C186" s="2868" t="s">
        <v>2588</v>
      </c>
      <c r="D186" s="2868" t="s">
        <v>2589</v>
      </c>
      <c r="E186" s="2868" t="s">
        <v>2590</v>
      </c>
      <c r="F186" s="2868" t="s">
        <v>2591</v>
      </c>
      <c r="G186" s="2868" t="s">
        <v>2592</v>
      </c>
      <c r="H186" s="2869" t="s">
        <v>2593</v>
      </c>
      <c r="I186" s="2869" t="s">
        <v>2594</v>
      </c>
      <c r="J186" s="2870" t="s">
        <v>2595</v>
      </c>
      <c r="K186" s="2870" t="s">
        <v>2596</v>
      </c>
      <c r="L186" s="2870" t="s">
        <v>2597</v>
      </c>
      <c r="M186" s="2871" t="s">
        <v>2598</v>
      </c>
      <c r="Q186" s="2881" t="s">
        <v>2796</v>
      </c>
      <c r="R186" s="2881" t="s">
        <v>2797</v>
      </c>
      <c r="S186" s="2881" t="s">
        <v>2798</v>
      </c>
      <c r="T186" s="2881" t="s">
        <v>2799</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2794</v>
      </c>
      <c r="B277" s="2866"/>
      <c r="C277" s="2866"/>
      <c r="D277" s="2866"/>
      <c r="E277" s="2866"/>
      <c r="F277" s="2866"/>
      <c r="G277" s="2866"/>
      <c r="H277" s="2866"/>
      <c r="I277" s="2866"/>
      <c r="J277" s="2866"/>
      <c r="K277" s="2866"/>
      <c r="L277" s="2866"/>
      <c r="M277" s="2866"/>
    </row>
    <row r="278" spans="1:21">
      <c r="A278" s="2867" t="s">
        <v>2791</v>
      </c>
      <c r="B278" s="2868" t="s">
        <v>2587</v>
      </c>
      <c r="C278" s="2868" t="s">
        <v>2588</v>
      </c>
      <c r="D278" s="2868" t="s">
        <v>2589</v>
      </c>
      <c r="E278" s="2868" t="s">
        <v>2590</v>
      </c>
      <c r="F278" s="2868" t="s">
        <v>2591</v>
      </c>
      <c r="G278" s="2868" t="s">
        <v>2592</v>
      </c>
      <c r="H278" s="2869" t="s">
        <v>2593</v>
      </c>
      <c r="I278" s="2869" t="s">
        <v>2594</v>
      </c>
      <c r="J278" s="2870" t="s">
        <v>2595</v>
      </c>
      <c r="K278" s="2870" t="s">
        <v>2596</v>
      </c>
      <c r="L278" s="2870" t="s">
        <v>2597</v>
      </c>
      <c r="M278" s="2871" t="s">
        <v>2598</v>
      </c>
      <c r="Q278" s="2881" t="s">
        <v>2796</v>
      </c>
      <c r="R278" s="2881" t="s">
        <v>2797</v>
      </c>
      <c r="S278" s="2881" t="s">
        <v>2800</v>
      </c>
      <c r="T278" s="2881" t="s">
        <v>2801</v>
      </c>
      <c r="U278" s="2881" t="s">
        <v>2799</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2795</v>
      </c>
      <c r="B369" s="2879"/>
      <c r="C369" s="2879"/>
      <c r="D369" s="2879"/>
      <c r="E369" s="2879"/>
      <c r="F369" s="2879"/>
      <c r="G369" s="2879"/>
      <c r="H369" s="2879"/>
      <c r="I369" s="2879"/>
      <c r="J369" s="2879"/>
      <c r="K369" s="2879"/>
      <c r="L369" s="2879"/>
      <c r="M369" s="2879"/>
    </row>
    <row r="370" spans="1:20">
      <c r="A370" s="2867" t="s">
        <v>2791</v>
      </c>
      <c r="B370" s="2868" t="s">
        <v>2587</v>
      </c>
      <c r="C370" s="2868" t="s">
        <v>2588</v>
      </c>
      <c r="D370" s="2868" t="s">
        <v>2589</v>
      </c>
      <c r="E370" s="2868" t="s">
        <v>2590</v>
      </c>
      <c r="F370" s="2868" t="s">
        <v>2591</v>
      </c>
      <c r="G370" s="2868" t="s">
        <v>2592</v>
      </c>
      <c r="H370" s="2869" t="s">
        <v>2593</v>
      </c>
      <c r="I370" s="2869" t="s">
        <v>2594</v>
      </c>
      <c r="J370" s="2870" t="s">
        <v>2595</v>
      </c>
      <c r="K370" s="2870" t="s">
        <v>2596</v>
      </c>
      <c r="L370" s="2870" t="s">
        <v>2597</v>
      </c>
      <c r="M370" s="2871" t="s">
        <v>2598</v>
      </c>
      <c r="N370">
        <f>SUMPRODUCT((A371:A460=ROUNDDOWN(基准地价修正!G3,1))*(B370:M370=基准地价修正!G2)*(B371:M460))</f>
        <v>0</v>
      </c>
      <c r="Q370" s="2881" t="s">
        <v>2796</v>
      </c>
      <c r="R370" s="2881" t="s">
        <v>2797</v>
      </c>
      <c r="S370" s="2881" t="s">
        <v>2798</v>
      </c>
      <c r="T370" s="2881" t="s">
        <v>2799</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30832</v>
      </c>
      <c r="C2" s="2" t="s">
        <v>106</v>
      </c>
      <c r="D2" s="191"/>
      <c r="E2" s="191"/>
      <c r="F2" s="191"/>
      <c r="G2" s="191"/>
    </row>
    <row r="3" spans="1:7" s="192" customFormat="1" ht="18" customHeight="1" thickBot="1">
      <c r="A3" s="195" t="s">
        <v>58</v>
      </c>
      <c r="B3" s="196">
        <f ca="1">ROUND(B2*10000/'数据-汇总表'!E3,0)</f>
        <v>78940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78</v>
      </c>
      <c r="D10" s="795">
        <f>'数据-汇总表'!E6</f>
        <v>3905.76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78</v>
      </c>
      <c r="D19" s="204">
        <f>'数据-汇总表'!E3</f>
        <v>3905.76</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1316</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5</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4220</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4220</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29280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1540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1367</v>
      </c>
      <c r="D34" s="209"/>
      <c r="E34" s="212"/>
      <c r="F34" s="249">
        <f>IF('数据-取费表'!B24=0,1,'数据-取费表'!N16)</f>
        <v>1</v>
      </c>
      <c r="G34" s="211" t="s">
        <v>89</v>
      </c>
    </row>
    <row r="35" spans="1:7" ht="13.5" customHeight="1">
      <c r="A35" s="734" t="s">
        <v>351</v>
      </c>
      <c r="B35" s="207" t="s">
        <v>33</v>
      </c>
      <c r="C35" s="212">
        <f>ROUND(C34*F35,0)</f>
        <v>68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78</v>
      </c>
      <c r="D37" s="209">
        <f>'数据-汇总表'!E3</f>
        <v>3905.76</v>
      </c>
      <c r="E37" s="241">
        <f>'数据-取费表'!B35</f>
        <v>200</v>
      </c>
      <c r="F37" s="251"/>
      <c r="G37" s="253" t="s">
        <v>92</v>
      </c>
    </row>
    <row r="38" spans="1:7" ht="13.5" customHeight="1">
      <c r="A38" s="734" t="s">
        <v>354</v>
      </c>
      <c r="B38" s="207" t="s">
        <v>36</v>
      </c>
      <c r="C38" s="212">
        <f>ROUND(C34*F38,0)</f>
        <v>27</v>
      </c>
      <c r="D38" s="212"/>
      <c r="E38" s="212"/>
      <c r="F38" s="251">
        <f>'数据-取费表'!B36</f>
        <v>0.02</v>
      </c>
      <c r="G38" s="211" t="s">
        <v>90</v>
      </c>
    </row>
    <row r="39" spans="1:7" s="206" customFormat="1" ht="13.5" customHeight="1">
      <c r="A39" s="731" t="s">
        <v>338</v>
      </c>
      <c r="B39" s="202" t="s">
        <v>77</v>
      </c>
      <c r="C39" s="224">
        <f>ROUND(C33*F20,0)</f>
        <v>31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49</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48</v>
      </c>
      <c r="D42" s="230"/>
      <c r="E42" s="230"/>
      <c r="F42" s="231"/>
      <c r="G42" s="3327" t="s">
        <v>94</v>
      </c>
    </row>
    <row r="43" spans="1:7" ht="13.5" customHeight="1">
      <c r="A43" s="734" t="s">
        <v>347</v>
      </c>
      <c r="B43" s="207" t="s">
        <v>426</v>
      </c>
      <c r="C43" s="230">
        <f ca="1">ROUND(IF('数据-取费表'!B22&lt;=1,C39*F22*'数据-取费表'!B21/2,C39*(POWER((1+F22),'数据-取费表'!B21/2)-1)),0)</f>
        <v>1</v>
      </c>
      <c r="D43" s="230"/>
      <c r="E43" s="230"/>
      <c r="F43" s="231"/>
      <c r="G43" s="3328"/>
    </row>
    <row r="44" spans="1:7" ht="13.5" customHeight="1">
      <c r="A44" s="734" t="s">
        <v>348</v>
      </c>
      <c r="B44" s="207" t="s">
        <v>428</v>
      </c>
      <c r="C44" s="230">
        <f ca="1">ROUND(IF('数据-取费表'!B22&lt;=1,C40*F22*'数据-取费表'!B21/2,C40*(POWER((1+F22),'数据-取费表'!B21/2)-1)),4)</f>
        <v>8.9999999999999998E-4</v>
      </c>
      <c r="D44" s="230"/>
      <c r="E44" s="230"/>
      <c r="F44" s="231"/>
      <c r="G44" s="3329"/>
    </row>
    <row r="45" spans="1:7" s="206" customFormat="1" ht="13.5" customHeight="1">
      <c r="A45" s="731" t="s">
        <v>341</v>
      </c>
      <c r="B45" s="236" t="s">
        <v>85</v>
      </c>
      <c r="C45" s="237">
        <f>C46</f>
        <v>314</v>
      </c>
      <c r="D45" s="227">
        <f>C47</f>
        <v>6.0000000000000001E-3</v>
      </c>
      <c r="E45" s="228" t="s">
        <v>102</v>
      </c>
      <c r="F45" s="238"/>
      <c r="G45" s="239" t="s">
        <v>434</v>
      </c>
    </row>
    <row r="46" spans="1:7" s="206" customFormat="1" ht="13.5" customHeight="1">
      <c r="A46" s="734" t="s">
        <v>349</v>
      </c>
      <c r="B46" s="240" t="s">
        <v>427</v>
      </c>
      <c r="C46" s="241">
        <f>ROUND((C33+C39)*F27,0)</f>
        <v>314</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2126</v>
      </c>
      <c r="D49" s="224"/>
      <c r="E49" s="224"/>
      <c r="F49" s="256"/>
      <c r="G49" s="226" t="s">
        <v>435</v>
      </c>
    </row>
    <row r="50" spans="1:7" s="250" customFormat="1" ht="24">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1552</v>
      </c>
      <c r="D51" s="224"/>
      <c r="E51" s="224"/>
      <c r="F51" s="256"/>
      <c r="G51" s="226" t="s">
        <v>37</v>
      </c>
    </row>
    <row r="52" spans="1:7" s="200" customFormat="1" ht="16.5" thickBot="1">
      <c r="A52" s="257" t="s">
        <v>38</v>
      </c>
      <c r="B52" s="258"/>
      <c r="C52" s="259">
        <f ca="1">C31+C51</f>
        <v>30832</v>
      </c>
      <c r="D52" s="258"/>
      <c r="E52" s="258"/>
      <c r="F52" s="258"/>
      <c r="G52" s="260"/>
    </row>
    <row r="55" spans="1:7" ht="15">
      <c r="B55" s="262" t="s">
        <v>39</v>
      </c>
      <c r="C55" s="263"/>
    </row>
    <row r="56" spans="1:7">
      <c r="B56" s="265" t="s">
        <v>40</v>
      </c>
      <c r="C56" s="266">
        <f ca="1">ROUND(C51/C52,3)</f>
        <v>0.05</v>
      </c>
    </row>
    <row r="57" spans="1:7">
      <c r="B57" s="265" t="s">
        <v>41</v>
      </c>
      <c r="C57" s="267">
        <f ca="1">1-C56</f>
        <v>0.95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H14" sqref="H14"/>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4" t="s">
        <v>2831</v>
      </c>
      <c r="B1" s="3464"/>
      <c r="C1" s="3464"/>
      <c r="D1" s="3464"/>
      <c r="E1" s="3464"/>
      <c r="F1" s="3464"/>
      <c r="G1" s="3465"/>
      <c r="I1" s="2939" t="s">
        <v>2832</v>
      </c>
      <c r="J1" s="2940" t="s">
        <v>2833</v>
      </c>
      <c r="K1" s="2940" t="s">
        <v>2834</v>
      </c>
      <c r="L1" s="2940" t="s">
        <v>2835</v>
      </c>
      <c r="M1" s="2940" t="s">
        <v>2836</v>
      </c>
      <c r="N1" s="2940" t="s">
        <v>2837</v>
      </c>
      <c r="O1" s="2940" t="s">
        <v>2838</v>
      </c>
      <c r="P1" s="2940" t="s">
        <v>2839</v>
      </c>
      <c r="Q1" s="2940" t="s">
        <v>2840</v>
      </c>
      <c r="R1" s="2940" t="s">
        <v>2841</v>
      </c>
      <c r="S1" s="2940" t="s">
        <v>2842</v>
      </c>
      <c r="T1" s="2941" t="s">
        <v>2843</v>
      </c>
    </row>
    <row r="2" spans="1:20" ht="12" thickBot="1">
      <c r="A2" s="2942" t="s">
        <v>2844</v>
      </c>
      <c r="B2" s="2942"/>
      <c r="C2" s="2942"/>
      <c r="D2" s="2942"/>
      <c r="E2" s="2942"/>
      <c r="F2" s="2942"/>
      <c r="G2" s="2943" t="s">
        <v>2845</v>
      </c>
      <c r="I2" s="2944" t="s">
        <v>2846</v>
      </c>
      <c r="J2" s="2944" t="s">
        <v>2847</v>
      </c>
      <c r="K2" s="2944" t="s">
        <v>2848</v>
      </c>
      <c r="L2" s="2944" t="s">
        <v>2849</v>
      </c>
      <c r="M2" s="2944" t="s">
        <v>2850</v>
      </c>
      <c r="N2" s="2944" t="s">
        <v>2851</v>
      </c>
      <c r="O2" s="2944" t="s">
        <v>2852</v>
      </c>
      <c r="P2" s="2944" t="s">
        <v>2853</v>
      </c>
      <c r="Q2" s="2944" t="s">
        <v>2854</v>
      </c>
      <c r="R2" s="2944" t="s">
        <v>2855</v>
      </c>
      <c r="S2" s="2944" t="s">
        <v>2856</v>
      </c>
      <c r="T2" s="2944" t="s">
        <v>2857</v>
      </c>
    </row>
    <row r="3" spans="1:20" s="2950" customFormat="1">
      <c r="A3" s="3462" t="s">
        <v>2858</v>
      </c>
      <c r="B3" s="2945"/>
      <c r="C3" s="2946" t="s">
        <v>2803</v>
      </c>
      <c r="D3" s="2946" t="s">
        <v>2859</v>
      </c>
      <c r="E3" s="2946" t="s">
        <v>2805</v>
      </c>
      <c r="F3" s="2946" t="s">
        <v>2860</v>
      </c>
      <c r="G3" s="2946" t="s">
        <v>2623</v>
      </c>
      <c r="H3" s="2947"/>
      <c r="I3" s="2948" t="s">
        <v>2861</v>
      </c>
      <c r="J3" s="2949" t="s">
        <v>128</v>
      </c>
      <c r="K3" s="2949" t="s">
        <v>129</v>
      </c>
      <c r="L3" s="2948" t="s">
        <v>130</v>
      </c>
      <c r="M3" s="2948" t="s">
        <v>131</v>
      </c>
      <c r="N3" s="2948" t="s">
        <v>132</v>
      </c>
      <c r="O3" s="2948" t="s">
        <v>133</v>
      </c>
      <c r="P3" s="2948" t="s">
        <v>134</v>
      </c>
      <c r="Q3" s="2948" t="s">
        <v>135</v>
      </c>
      <c r="R3" s="2948" t="s">
        <v>136</v>
      </c>
      <c r="S3" s="2948" t="s">
        <v>2862</v>
      </c>
      <c r="T3" s="2948" t="s">
        <v>2863</v>
      </c>
    </row>
    <row r="4" spans="1:20" s="2950" customFormat="1" ht="12" thickBot="1">
      <c r="A4" s="3463"/>
      <c r="B4" s="2951" t="s">
        <v>2864</v>
      </c>
      <c r="C4" s="2951" t="s">
        <v>2865</v>
      </c>
      <c r="D4" s="2951" t="s">
        <v>2865</v>
      </c>
      <c r="E4" s="2951" t="s">
        <v>2865</v>
      </c>
      <c r="F4" s="2952" t="s">
        <v>2865</v>
      </c>
      <c r="G4" s="2952" t="s">
        <v>2865</v>
      </c>
      <c r="H4" s="2947"/>
      <c r="I4" s="2949" t="s">
        <v>137</v>
      </c>
      <c r="J4" s="2949" t="s">
        <v>111</v>
      </c>
      <c r="K4" s="2949" t="s">
        <v>138</v>
      </c>
      <c r="L4" s="2948" t="s">
        <v>139</v>
      </c>
      <c r="M4" s="2948" t="s">
        <v>140</v>
      </c>
      <c r="N4" s="2948" t="s">
        <v>141</v>
      </c>
      <c r="O4" s="2948" t="s">
        <v>142</v>
      </c>
      <c r="P4" s="2948" t="s">
        <v>143</v>
      </c>
      <c r="Q4" s="2948" t="s">
        <v>2866</v>
      </c>
      <c r="R4" s="2948" t="s">
        <v>2867</v>
      </c>
      <c r="S4" s="2948" t="s">
        <v>2868</v>
      </c>
      <c r="T4" s="2948" t="s">
        <v>2869</v>
      </c>
    </row>
    <row r="5" spans="1:20">
      <c r="A5" s="2953" t="s">
        <v>2832</v>
      </c>
      <c r="B5" s="2944" t="s">
        <v>2846</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2870</v>
      </c>
      <c r="R5" s="2948" t="s">
        <v>2871</v>
      </c>
      <c r="S5" s="2948" t="s">
        <v>153</v>
      </c>
      <c r="T5" s="2948" t="s">
        <v>2872</v>
      </c>
    </row>
    <row r="6" spans="1:20" ht="12" thickBot="1">
      <c r="A6" s="2948" t="s">
        <v>144</v>
      </c>
      <c r="B6" s="2948" t="s">
        <v>2861</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2873</v>
      </c>
      <c r="Q6" s="2948" t="s">
        <v>2874</v>
      </c>
      <c r="R6" s="2948" t="s">
        <v>161</v>
      </c>
      <c r="S6" s="2948" t="s">
        <v>2875</v>
      </c>
      <c r="T6" s="2948" t="s">
        <v>2876</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2877</v>
      </c>
      <c r="Q7" s="2948" t="s">
        <v>2878</v>
      </c>
      <c r="R7" s="2948" t="s">
        <v>2879</v>
      </c>
      <c r="S7" s="2948" t="s">
        <v>2880</v>
      </c>
      <c r="T7" s="2948" t="s">
        <v>2881</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2882</v>
      </c>
      <c r="Q8" s="2948" t="s">
        <v>174</v>
      </c>
      <c r="R8" s="2948" t="s">
        <v>2883</v>
      </c>
      <c r="S8" s="2948" t="s">
        <v>2884</v>
      </c>
      <c r="T8" s="2955" t="s">
        <v>2885</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2886</v>
      </c>
      <c r="Q9" s="2948" t="s">
        <v>182</v>
      </c>
      <c r="R9" s="2948" t="s">
        <v>183</v>
      </c>
      <c r="S9" s="2948" t="s">
        <v>200</v>
      </c>
    </row>
    <row r="10" spans="1:20">
      <c r="A10" s="2953" t="s">
        <v>184</v>
      </c>
      <c r="B10" s="2944" t="s">
        <v>2847</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2887</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2888</v>
      </c>
      <c r="P11" s="2948" t="s">
        <v>191</v>
      </c>
      <c r="Q11" s="2948" t="s">
        <v>199</v>
      </c>
      <c r="R11" s="2948" t="s">
        <v>2889</v>
      </c>
      <c r="S11" s="2948" t="s">
        <v>2890</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2891</v>
      </c>
      <c r="P12" s="2948" t="s">
        <v>2892</v>
      </c>
      <c r="Q12" s="2948" t="s">
        <v>2893</v>
      </c>
      <c r="R12" s="2948" t="s">
        <v>2894</v>
      </c>
      <c r="S12" s="2948" t="s">
        <v>2895</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2896</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2897</v>
      </c>
      <c r="K14" s="2949" t="s">
        <v>215</v>
      </c>
      <c r="L14" s="2948" t="s">
        <v>216</v>
      </c>
      <c r="M14" s="2948" t="s">
        <v>217</v>
      </c>
      <c r="N14" s="2948" t="s">
        <v>218</v>
      </c>
      <c r="O14" s="2948" t="s">
        <v>240</v>
      </c>
      <c r="P14" s="2948" t="s">
        <v>213</v>
      </c>
      <c r="Q14" s="2948" t="s">
        <v>2898</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2899</v>
      </c>
      <c r="P15" s="2948" t="s">
        <v>2900</v>
      </c>
      <c r="Q15" s="2948" t="s">
        <v>242</v>
      </c>
      <c r="R15" s="2948" t="s">
        <v>2901</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2902</v>
      </c>
      <c r="P16" s="2948" t="s">
        <v>227</v>
      </c>
      <c r="Q16" s="2948" t="s">
        <v>250</v>
      </c>
      <c r="R16" s="2948" t="s">
        <v>207</v>
      </c>
      <c r="S16" s="2948" t="s">
        <v>2903</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2904</v>
      </c>
      <c r="P17" s="2948" t="s">
        <v>2905</v>
      </c>
      <c r="Q17" s="2948" t="s">
        <v>256</v>
      </c>
      <c r="R17" s="2948" t="s">
        <v>2906</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2907</v>
      </c>
      <c r="P18" s="2948" t="s">
        <v>241</v>
      </c>
      <c r="Q18" s="2948" t="s">
        <v>2908</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2909</v>
      </c>
      <c r="P19" s="2948" t="s">
        <v>249</v>
      </c>
      <c r="Q19" s="2948" t="s">
        <v>2910</v>
      </c>
      <c r="R19" s="2948" t="s">
        <v>265</v>
      </c>
      <c r="S19" s="2948" t="s">
        <v>2911</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2912</v>
      </c>
      <c r="P20" s="2948" t="s">
        <v>2913</v>
      </c>
      <c r="Q20" s="2948" t="s">
        <v>290</v>
      </c>
      <c r="R20" s="2948" t="s">
        <v>2914</v>
      </c>
      <c r="S20" s="2948" t="s">
        <v>277</v>
      </c>
    </row>
    <row r="21" spans="1:19" ht="14.25" customHeight="1" thickBot="1">
      <c r="A21" s="2948" t="s">
        <v>184</v>
      </c>
      <c r="B21" s="2949" t="s">
        <v>208</v>
      </c>
      <c r="C21" s="2948">
        <v>32370</v>
      </c>
      <c r="D21" s="2948">
        <v>26730</v>
      </c>
      <c r="E21" s="2948">
        <v>26640</v>
      </c>
      <c r="F21" s="2948"/>
      <c r="G21" s="2948">
        <v>19440</v>
      </c>
      <c r="J21" s="2955" t="s">
        <v>2915</v>
      </c>
      <c r="K21" s="2949" t="s">
        <v>267</v>
      </c>
      <c r="L21" s="2948" t="s">
        <v>268</v>
      </c>
      <c r="M21" s="2948" t="s">
        <v>269</v>
      </c>
      <c r="N21" s="2948" t="s">
        <v>270</v>
      </c>
      <c r="O21" s="2948" t="s">
        <v>264</v>
      </c>
      <c r="P21" s="2948" t="s">
        <v>283</v>
      </c>
      <c r="Q21" s="2948" t="s">
        <v>293</v>
      </c>
      <c r="R21" s="2948" t="s">
        <v>2916</v>
      </c>
      <c r="S21" s="2955" t="s">
        <v>2917</v>
      </c>
    </row>
    <row r="22" spans="1:19" ht="14.25" customHeight="1">
      <c r="A22" s="2948" t="s">
        <v>184</v>
      </c>
      <c r="B22" s="2949" t="s">
        <v>2897</v>
      </c>
      <c r="C22" s="2948">
        <v>29830</v>
      </c>
      <c r="D22" s="2948">
        <v>27600</v>
      </c>
      <c r="E22" s="2948">
        <v>28150</v>
      </c>
      <c r="F22" s="2948"/>
      <c r="G22" s="2948">
        <v>20080</v>
      </c>
      <c r="K22" s="2949" t="s">
        <v>2918</v>
      </c>
      <c r="L22" s="2948" t="s">
        <v>272</v>
      </c>
      <c r="M22" s="2948" t="s">
        <v>273</v>
      </c>
      <c r="N22" s="2948" t="s">
        <v>274</v>
      </c>
      <c r="O22" s="2948" t="s">
        <v>2919</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2920</v>
      </c>
      <c r="L23" s="2948" t="s">
        <v>278</v>
      </c>
      <c r="M23" s="2948" t="s">
        <v>279</v>
      </c>
      <c r="N23" s="2948" t="s">
        <v>2921</v>
      </c>
      <c r="O23" s="2948" t="s">
        <v>2922</v>
      </c>
      <c r="P23" s="2948" t="s">
        <v>289</v>
      </c>
      <c r="Q23" s="2948" t="s">
        <v>298</v>
      </c>
      <c r="R23" s="2948" t="s">
        <v>2923</v>
      </c>
    </row>
    <row r="24" spans="1:19" ht="14.25" customHeight="1">
      <c r="A24" s="2948" t="s">
        <v>184</v>
      </c>
      <c r="B24" s="2949" t="s">
        <v>230</v>
      </c>
      <c r="C24" s="2948">
        <v>27930</v>
      </c>
      <c r="D24" s="2948">
        <v>32260</v>
      </c>
      <c r="E24" s="2948">
        <v>32120</v>
      </c>
      <c r="F24" s="2948"/>
      <c r="G24" s="2948">
        <v>23470</v>
      </c>
      <c r="K24" s="2949" t="s">
        <v>2924</v>
      </c>
      <c r="L24" s="2948" t="s">
        <v>281</v>
      </c>
      <c r="M24" s="2948" t="s">
        <v>282</v>
      </c>
      <c r="N24" s="2948" t="s">
        <v>2925</v>
      </c>
      <c r="O24" s="2948" t="s">
        <v>285</v>
      </c>
      <c r="P24" s="2948" t="s">
        <v>2926</v>
      </c>
      <c r="Q24" s="2957" t="s">
        <v>2927</v>
      </c>
      <c r="R24" s="2948" t="s">
        <v>2928</v>
      </c>
    </row>
    <row r="25" spans="1:19" ht="14.25" customHeight="1">
      <c r="A25" s="2948" t="s">
        <v>184</v>
      </c>
      <c r="B25" s="2949" t="s">
        <v>235</v>
      </c>
      <c r="C25" s="2948">
        <v>32230</v>
      </c>
      <c r="D25" s="2948">
        <v>29640</v>
      </c>
      <c r="E25" s="2948">
        <v>29510</v>
      </c>
      <c r="F25" s="2948"/>
      <c r="G25" s="2948">
        <v>21560</v>
      </c>
      <c r="K25" s="2949" t="s">
        <v>2929</v>
      </c>
      <c r="L25" s="2948" t="s">
        <v>2930</v>
      </c>
      <c r="M25" s="2948" t="s">
        <v>284</v>
      </c>
      <c r="N25" s="2948" t="s">
        <v>292</v>
      </c>
      <c r="O25" s="2948" t="s">
        <v>288</v>
      </c>
      <c r="P25" s="2948" t="s">
        <v>275</v>
      </c>
      <c r="Q25" s="2957" t="s">
        <v>271</v>
      </c>
      <c r="R25" s="2948" t="s">
        <v>2931</v>
      </c>
    </row>
    <row r="26" spans="1:19" ht="14.25" customHeight="1" thickBot="1">
      <c r="A26" s="2948" t="s">
        <v>184</v>
      </c>
      <c r="B26" s="2949" t="s">
        <v>244</v>
      </c>
      <c r="C26" s="2948">
        <v>31690</v>
      </c>
      <c r="D26" s="2948">
        <v>27650</v>
      </c>
      <c r="E26" s="2948">
        <v>28200</v>
      </c>
      <c r="F26" s="2948"/>
      <c r="G26" s="2948">
        <v>20110</v>
      </c>
      <c r="K26" s="2954" t="s">
        <v>2932</v>
      </c>
      <c r="L26" s="2948" t="s">
        <v>2933</v>
      </c>
      <c r="M26" s="2948" t="s">
        <v>287</v>
      </c>
      <c r="N26" s="2948" t="s">
        <v>294</v>
      </c>
      <c r="O26" s="2948" t="s">
        <v>2934</v>
      </c>
      <c r="P26" s="2948" t="s">
        <v>2935</v>
      </c>
      <c r="Q26" s="2957" t="s">
        <v>276</v>
      </c>
      <c r="R26" s="2948" t="s">
        <v>2936</v>
      </c>
    </row>
    <row r="27" spans="1:19" ht="14.25" customHeight="1">
      <c r="A27" s="2948" t="s">
        <v>184</v>
      </c>
      <c r="B27" s="2949" t="s">
        <v>251</v>
      </c>
      <c r="C27" s="2948">
        <v>29610</v>
      </c>
      <c r="D27" s="2948">
        <v>27770</v>
      </c>
      <c r="E27" s="2948">
        <v>28300</v>
      </c>
      <c r="F27" s="2948"/>
      <c r="G27" s="2948">
        <v>20210</v>
      </c>
      <c r="L27" s="2948" t="s">
        <v>2937</v>
      </c>
      <c r="M27" s="2948" t="s">
        <v>291</v>
      </c>
      <c r="N27" s="2948" t="s">
        <v>297</v>
      </c>
      <c r="O27" s="2948" t="s">
        <v>2938</v>
      </c>
      <c r="P27" s="2948" t="s">
        <v>2939</v>
      </c>
      <c r="Q27" s="2948" t="s">
        <v>2940</v>
      </c>
      <c r="R27" s="2948" t="s">
        <v>2941</v>
      </c>
    </row>
    <row r="28" spans="1:19" ht="14.25" customHeight="1">
      <c r="A28" s="2948" t="s">
        <v>184</v>
      </c>
      <c r="B28" s="2949" t="s">
        <v>259</v>
      </c>
      <c r="C28" s="2948"/>
      <c r="D28" s="2948">
        <v>31520</v>
      </c>
      <c r="E28" s="2948">
        <v>31410</v>
      </c>
      <c r="F28" s="2948"/>
      <c r="G28" s="2948">
        <v>22940</v>
      </c>
      <c r="L28" s="2948" t="s">
        <v>2942</v>
      </c>
      <c r="M28" s="2948" t="s">
        <v>2943</v>
      </c>
      <c r="N28" s="2948" t="s">
        <v>2944</v>
      </c>
      <c r="O28" s="2948" t="s">
        <v>2945</v>
      </c>
      <c r="P28" s="2948" t="s">
        <v>2946</v>
      </c>
      <c r="Q28" s="2948" t="s">
        <v>2947</v>
      </c>
      <c r="R28" s="2948" t="s">
        <v>2948</v>
      </c>
    </row>
    <row r="29" spans="1:19" ht="14.25" customHeight="1" thickBot="1">
      <c r="A29" s="2956" t="s">
        <v>184</v>
      </c>
      <c r="B29" s="2958" t="s">
        <v>2915</v>
      </c>
      <c r="C29" s="2959"/>
      <c r="D29" s="2959">
        <v>29460</v>
      </c>
      <c r="E29" s="2959">
        <v>28640</v>
      </c>
      <c r="F29" s="2959"/>
      <c r="G29" s="2959">
        <v>21430</v>
      </c>
      <c r="L29" s="2948" t="s">
        <v>2949</v>
      </c>
      <c r="M29" s="2948" t="s">
        <v>2950</v>
      </c>
      <c r="N29" s="2948" t="s">
        <v>2951</v>
      </c>
      <c r="O29" s="2948" t="s">
        <v>2952</v>
      </c>
      <c r="P29" s="2948" t="s">
        <v>2953</v>
      </c>
      <c r="Q29" s="2948" t="s">
        <v>2954</v>
      </c>
      <c r="R29" s="2948" t="s">
        <v>280</v>
      </c>
    </row>
    <row r="30" spans="1:19" ht="14.25" customHeight="1">
      <c r="A30" s="2953" t="s">
        <v>296</v>
      </c>
      <c r="B30" s="2944" t="s">
        <v>2848</v>
      </c>
      <c r="C30" s="2944">
        <v>26890</v>
      </c>
      <c r="D30" s="2944">
        <v>26770</v>
      </c>
      <c r="E30" s="2944">
        <v>25700</v>
      </c>
      <c r="F30" s="2944">
        <v>8180</v>
      </c>
      <c r="G30" s="2960">
        <v>18740</v>
      </c>
      <c r="L30" s="2948" t="s">
        <v>2955</v>
      </c>
      <c r="M30" s="2948" t="s">
        <v>2956</v>
      </c>
      <c r="N30" s="2948" t="s">
        <v>2957</v>
      </c>
      <c r="O30" s="2948" t="s">
        <v>2958</v>
      </c>
      <c r="P30" s="2948" t="s">
        <v>2959</v>
      </c>
      <c r="Q30" s="2948" t="s">
        <v>2960</v>
      </c>
      <c r="R30" s="2948" t="s">
        <v>2961</v>
      </c>
    </row>
    <row r="31" spans="1:19" ht="14.25" customHeight="1">
      <c r="A31" s="2948" t="s">
        <v>296</v>
      </c>
      <c r="B31" s="2949" t="s">
        <v>129</v>
      </c>
      <c r="C31" s="2948">
        <v>24550</v>
      </c>
      <c r="D31" s="2948">
        <v>23990</v>
      </c>
      <c r="E31" s="2948">
        <v>22930</v>
      </c>
      <c r="F31" s="2948">
        <v>7470</v>
      </c>
      <c r="G31" s="2961">
        <v>16790</v>
      </c>
      <c r="L31" s="2948" t="s">
        <v>2962</v>
      </c>
      <c r="M31" s="2948" t="s">
        <v>2963</v>
      </c>
      <c r="N31" s="2948" t="s">
        <v>2964</v>
      </c>
      <c r="O31" s="2948" t="s">
        <v>2965</v>
      </c>
      <c r="P31" s="2948" t="s">
        <v>2966</v>
      </c>
      <c r="Q31" s="2948" t="s">
        <v>2967</v>
      </c>
      <c r="R31" s="2948" t="s">
        <v>2968</v>
      </c>
    </row>
    <row r="32" spans="1:19" ht="14.25" customHeight="1" thickBot="1">
      <c r="A32" s="2948" t="s">
        <v>296</v>
      </c>
      <c r="B32" s="2949" t="s">
        <v>138</v>
      </c>
      <c r="C32" s="2948">
        <v>27210</v>
      </c>
      <c r="D32" s="2948">
        <v>23240</v>
      </c>
      <c r="E32" s="2948">
        <v>23260</v>
      </c>
      <c r="F32" s="2948">
        <v>7130</v>
      </c>
      <c r="G32" s="2961">
        <v>16270</v>
      </c>
      <c r="L32" s="2948" t="s">
        <v>2969</v>
      </c>
      <c r="M32" s="2948" t="s">
        <v>2970</v>
      </c>
      <c r="N32" s="2948" t="s">
        <v>300</v>
      </c>
      <c r="O32" s="2948" t="s">
        <v>2971</v>
      </c>
      <c r="P32" s="2948" t="s">
        <v>299</v>
      </c>
      <c r="Q32" s="2948" t="s">
        <v>2972</v>
      </c>
      <c r="R32" s="2955" t="s">
        <v>2973</v>
      </c>
    </row>
    <row r="33" spans="1:17" ht="14.25" customHeight="1" thickBot="1">
      <c r="A33" s="2948" t="s">
        <v>296</v>
      </c>
      <c r="B33" s="2949" t="s">
        <v>147</v>
      </c>
      <c r="C33" s="2948">
        <v>27300</v>
      </c>
      <c r="D33" s="2948">
        <v>22980</v>
      </c>
      <c r="E33" s="2948">
        <v>24260</v>
      </c>
      <c r="F33" s="2948">
        <v>5860</v>
      </c>
      <c r="G33" s="2961">
        <v>16090</v>
      </c>
      <c r="L33" s="2955" t="s">
        <v>2974</v>
      </c>
      <c r="M33" s="2948" t="s">
        <v>2975</v>
      </c>
      <c r="N33" s="2948" t="s">
        <v>301</v>
      </c>
      <c r="O33" s="2948" t="s">
        <v>2976</v>
      </c>
      <c r="P33" s="2948" t="s">
        <v>2977</v>
      </c>
      <c r="Q33" s="2948" t="s">
        <v>2978</v>
      </c>
    </row>
    <row r="34" spans="1:17" ht="14.25" customHeight="1">
      <c r="A34" s="2948" t="s">
        <v>296</v>
      </c>
      <c r="B34" s="2949" t="s">
        <v>156</v>
      </c>
      <c r="C34" s="2948">
        <v>23090</v>
      </c>
      <c r="D34" s="2948">
        <v>23390</v>
      </c>
      <c r="E34" s="2948">
        <v>23510</v>
      </c>
      <c r="F34" s="2948">
        <v>6700</v>
      </c>
      <c r="G34" s="2961">
        <v>16370</v>
      </c>
      <c r="M34" s="2948" t="s">
        <v>2979</v>
      </c>
      <c r="N34" s="2948" t="s">
        <v>302</v>
      </c>
      <c r="O34" s="2948" t="s">
        <v>2980</v>
      </c>
      <c r="P34" s="2948" t="s">
        <v>2981</v>
      </c>
      <c r="Q34" s="2948" t="s">
        <v>2982</v>
      </c>
    </row>
    <row r="35" spans="1:17" ht="14.25" customHeight="1">
      <c r="A35" s="2948" t="s">
        <v>296</v>
      </c>
      <c r="B35" s="2949" t="s">
        <v>163</v>
      </c>
      <c r="C35" s="2948">
        <v>27270</v>
      </c>
      <c r="D35" s="2948">
        <v>24270</v>
      </c>
      <c r="E35" s="2948">
        <v>24950</v>
      </c>
      <c r="F35" s="2948">
        <v>6600</v>
      </c>
      <c r="G35" s="2961">
        <v>16990</v>
      </c>
      <c r="M35" s="2948" t="s">
        <v>2983</v>
      </c>
      <c r="N35" s="2948" t="s">
        <v>2984</v>
      </c>
      <c r="O35" s="2948" t="s">
        <v>2985</v>
      </c>
      <c r="P35" s="2948" t="s">
        <v>2986</v>
      </c>
      <c r="Q35" s="2948" t="s">
        <v>2987</v>
      </c>
    </row>
    <row r="36" spans="1:17" ht="14.25" customHeight="1">
      <c r="A36" s="2948" t="s">
        <v>296</v>
      </c>
      <c r="B36" s="2949" t="s">
        <v>169</v>
      </c>
      <c r="C36" s="2948">
        <v>23490</v>
      </c>
      <c r="D36" s="2948">
        <v>23020</v>
      </c>
      <c r="E36" s="2948">
        <v>25230</v>
      </c>
      <c r="F36" s="2948">
        <v>6780</v>
      </c>
      <c r="G36" s="2961">
        <v>16120</v>
      </c>
      <c r="M36" s="2948" t="s">
        <v>2988</v>
      </c>
      <c r="N36" s="2948" t="s">
        <v>2989</v>
      </c>
      <c r="O36" s="2948" t="s">
        <v>2990</v>
      </c>
      <c r="P36" s="2948" t="s">
        <v>2991</v>
      </c>
      <c r="Q36" s="2948" t="s">
        <v>2992</v>
      </c>
    </row>
    <row r="37" spans="1:17" ht="14.25" customHeight="1">
      <c r="A37" s="2948" t="s">
        <v>296</v>
      </c>
      <c r="B37" s="2949" t="s">
        <v>176</v>
      </c>
      <c r="C37" s="2948">
        <v>24380</v>
      </c>
      <c r="D37" s="2948">
        <v>22240</v>
      </c>
      <c r="E37" s="2948">
        <v>25980</v>
      </c>
      <c r="F37" s="2948">
        <v>8160</v>
      </c>
      <c r="G37" s="2961">
        <v>15570</v>
      </c>
      <c r="M37" s="2948" t="s">
        <v>2993</v>
      </c>
      <c r="N37" s="2948" t="s">
        <v>2994</v>
      </c>
      <c r="O37" s="2948" t="s">
        <v>2995</v>
      </c>
      <c r="P37" s="2948" t="s">
        <v>2996</v>
      </c>
      <c r="Q37" s="2948" t="s">
        <v>2997</v>
      </c>
    </row>
    <row r="38" spans="1:17" ht="14.25" customHeight="1">
      <c r="A38" s="2948" t="s">
        <v>296</v>
      </c>
      <c r="B38" s="2949" t="s">
        <v>186</v>
      </c>
      <c r="C38" s="2948">
        <v>23120</v>
      </c>
      <c r="D38" s="2948">
        <v>24630</v>
      </c>
      <c r="E38" s="2948">
        <v>25030</v>
      </c>
      <c r="F38" s="2948">
        <v>7710</v>
      </c>
      <c r="G38" s="2961">
        <v>17240</v>
      </c>
      <c r="M38" s="2948" t="s">
        <v>2998</v>
      </c>
      <c r="N38" s="2948" t="s">
        <v>2999</v>
      </c>
      <c r="O38" s="2948" t="s">
        <v>3000</v>
      </c>
      <c r="P38" s="2948" t="s">
        <v>3001</v>
      </c>
      <c r="Q38" s="2948" t="s">
        <v>3002</v>
      </c>
    </row>
    <row r="39" spans="1:17" ht="14.25" customHeight="1">
      <c r="A39" s="2948" t="s">
        <v>296</v>
      </c>
      <c r="B39" s="2949" t="s">
        <v>195</v>
      </c>
      <c r="C39" s="2948">
        <v>22330</v>
      </c>
      <c r="D39" s="2948">
        <v>21140</v>
      </c>
      <c r="E39" s="2948">
        <v>23970</v>
      </c>
      <c r="F39" s="2948">
        <v>7940</v>
      </c>
      <c r="G39" s="2961">
        <v>14790</v>
      </c>
      <c r="M39" s="2948" t="s">
        <v>3003</v>
      </c>
      <c r="N39" s="2948" t="s">
        <v>3004</v>
      </c>
      <c r="O39" s="2948" t="s">
        <v>3005</v>
      </c>
      <c r="P39" s="2948" t="s">
        <v>3006</v>
      </c>
      <c r="Q39" s="2948" t="s">
        <v>3007</v>
      </c>
    </row>
    <row r="40" spans="1:17" ht="14.25" customHeight="1">
      <c r="A40" s="2948" t="s">
        <v>296</v>
      </c>
      <c r="B40" s="2949" t="s">
        <v>202</v>
      </c>
      <c r="C40" s="2948">
        <v>24740</v>
      </c>
      <c r="D40" s="2948">
        <v>24690</v>
      </c>
      <c r="E40" s="2948">
        <v>22610</v>
      </c>
      <c r="F40" s="2948"/>
      <c r="G40" s="2961">
        <v>17280</v>
      </c>
      <c r="M40" s="2948" t="s">
        <v>3008</v>
      </c>
      <c r="N40" s="2948" t="s">
        <v>3009</v>
      </c>
      <c r="O40" s="2948" t="s">
        <v>3010</v>
      </c>
      <c r="P40" s="2948" t="s">
        <v>3011</v>
      </c>
      <c r="Q40" s="2948" t="s">
        <v>3012</v>
      </c>
    </row>
    <row r="41" spans="1:17" ht="14.25" customHeight="1" thickBot="1">
      <c r="A41" s="2948" t="s">
        <v>296</v>
      </c>
      <c r="B41" s="2949" t="s">
        <v>209</v>
      </c>
      <c r="C41" s="2948">
        <v>21220</v>
      </c>
      <c r="D41" s="2948">
        <v>21120</v>
      </c>
      <c r="E41" s="2948">
        <v>22590</v>
      </c>
      <c r="F41" s="2948"/>
      <c r="G41" s="2961">
        <v>14780</v>
      </c>
      <c r="M41" s="2955" t="s">
        <v>3013</v>
      </c>
      <c r="N41" s="2948" t="s">
        <v>3014</v>
      </c>
      <c r="O41" s="2948" t="s">
        <v>3015</v>
      </c>
      <c r="P41" s="2948" t="s">
        <v>3016</v>
      </c>
      <c r="Q41" s="2948" t="s">
        <v>3017</v>
      </c>
    </row>
    <row r="42" spans="1:17" ht="14.25" customHeight="1">
      <c r="A42" s="2948" t="s">
        <v>296</v>
      </c>
      <c r="B42" s="2949" t="s">
        <v>215</v>
      </c>
      <c r="C42" s="2948">
        <v>24800</v>
      </c>
      <c r="D42" s="2948">
        <v>22280</v>
      </c>
      <c r="E42" s="2948">
        <v>24350</v>
      </c>
      <c r="F42" s="2948"/>
      <c r="G42" s="2961">
        <v>15590</v>
      </c>
      <c r="N42" s="2948" t="s">
        <v>3018</v>
      </c>
      <c r="O42" s="2948" t="s">
        <v>3019</v>
      </c>
      <c r="P42" s="2948" t="s">
        <v>3020</v>
      </c>
      <c r="Q42" s="2948" t="s">
        <v>3021</v>
      </c>
    </row>
    <row r="43" spans="1:17" ht="14.25" customHeight="1">
      <c r="A43" s="2948" t="s">
        <v>3022</v>
      </c>
      <c r="B43" s="2949" t="s">
        <v>223</v>
      </c>
      <c r="C43" s="2948">
        <v>21210</v>
      </c>
      <c r="D43" s="2948">
        <v>21160</v>
      </c>
      <c r="E43" s="2948">
        <v>22650</v>
      </c>
      <c r="F43" s="2948"/>
      <c r="G43" s="2961">
        <v>14800</v>
      </c>
      <c r="N43" s="2948" t="s">
        <v>3023</v>
      </c>
      <c r="O43" s="2948" t="s">
        <v>3024</v>
      </c>
      <c r="P43" s="2948" t="s">
        <v>3025</v>
      </c>
      <c r="Q43" s="2948" t="s">
        <v>3026</v>
      </c>
    </row>
    <row r="44" spans="1:17" ht="14.25" customHeight="1" thickBot="1">
      <c r="A44" s="2948" t="s">
        <v>296</v>
      </c>
      <c r="B44" s="2949" t="s">
        <v>231</v>
      </c>
      <c r="C44" s="2948">
        <v>22370</v>
      </c>
      <c r="D44" s="2948">
        <v>23140</v>
      </c>
      <c r="E44" s="2948">
        <v>25090</v>
      </c>
      <c r="F44" s="2948"/>
      <c r="G44" s="2961">
        <v>16190</v>
      </c>
      <c r="N44" s="2948" t="s">
        <v>3027</v>
      </c>
      <c r="O44" s="2948" t="s">
        <v>3028</v>
      </c>
      <c r="P44" s="2955" t="s">
        <v>3029</v>
      </c>
      <c r="Q44" s="2948" t="s">
        <v>3030</v>
      </c>
    </row>
    <row r="45" spans="1:17" ht="14.25" customHeight="1" thickBot="1">
      <c r="A45" s="2948" t="s">
        <v>296</v>
      </c>
      <c r="B45" s="2949" t="s">
        <v>236</v>
      </c>
      <c r="C45" s="2948">
        <v>21240</v>
      </c>
      <c r="D45" s="2948">
        <v>27050</v>
      </c>
      <c r="E45" s="2948">
        <v>28000</v>
      </c>
      <c r="F45" s="2948"/>
      <c r="G45" s="2961">
        <v>18940</v>
      </c>
      <c r="N45" s="2948" t="s">
        <v>3031</v>
      </c>
      <c r="O45" s="2955" t="s">
        <v>3032</v>
      </c>
      <c r="Q45" s="2948" t="s">
        <v>3033</v>
      </c>
    </row>
    <row r="46" spans="1:17" ht="14.25" customHeight="1">
      <c r="A46" s="2948" t="s">
        <v>296</v>
      </c>
      <c r="B46" s="2949" t="s">
        <v>245</v>
      </c>
      <c r="C46" s="2948">
        <v>23240</v>
      </c>
      <c r="D46" s="2948">
        <v>23000</v>
      </c>
      <c r="E46" s="2948">
        <v>24980</v>
      </c>
      <c r="F46" s="2948"/>
      <c r="G46" s="2961">
        <v>16100</v>
      </c>
      <c r="N46" s="2948" t="s">
        <v>3034</v>
      </c>
      <c r="Q46" s="2948" t="s">
        <v>3035</v>
      </c>
    </row>
    <row r="47" spans="1:17" ht="14.25" customHeight="1">
      <c r="A47" s="2948" t="s">
        <v>296</v>
      </c>
      <c r="B47" s="2949" t="s">
        <v>252</v>
      </c>
      <c r="C47" s="2948">
        <v>27150</v>
      </c>
      <c r="D47" s="2948">
        <v>23310</v>
      </c>
      <c r="E47" s="2948">
        <v>25150</v>
      </c>
      <c r="F47" s="2948"/>
      <c r="G47" s="2961">
        <v>16310</v>
      </c>
      <c r="N47" s="2948" t="s">
        <v>3036</v>
      </c>
      <c r="Q47" s="2948" t="s">
        <v>3037</v>
      </c>
    </row>
    <row r="48" spans="1:17" ht="14.25" customHeight="1">
      <c r="A48" s="2948" t="s">
        <v>296</v>
      </c>
      <c r="B48" s="2949" t="s">
        <v>260</v>
      </c>
      <c r="C48" s="2948">
        <v>23100</v>
      </c>
      <c r="D48" s="2948">
        <v>21110</v>
      </c>
      <c r="E48" s="2948">
        <v>23080</v>
      </c>
      <c r="F48" s="2948"/>
      <c r="G48" s="2961">
        <v>14780</v>
      </c>
      <c r="N48" s="2948" t="s">
        <v>3038</v>
      </c>
      <c r="Q48" s="2948" t="s">
        <v>3039</v>
      </c>
    </row>
    <row r="49" spans="1:17" ht="14.25" customHeight="1">
      <c r="A49" s="2948" t="s">
        <v>296</v>
      </c>
      <c r="B49" s="2949" t="s">
        <v>267</v>
      </c>
      <c r="C49" s="2948">
        <v>23400</v>
      </c>
      <c r="D49" s="2948">
        <v>22920</v>
      </c>
      <c r="E49" s="2948">
        <v>24900</v>
      </c>
      <c r="F49" s="2948"/>
      <c r="G49" s="2961">
        <v>16040</v>
      </c>
      <c r="N49" s="2948" t="s">
        <v>3040</v>
      </c>
      <c r="Q49" s="2948" t="s">
        <v>3041</v>
      </c>
    </row>
    <row r="50" spans="1:17" ht="14.25" customHeight="1">
      <c r="A50" s="2948" t="s">
        <v>296</v>
      </c>
      <c r="B50" s="2949" t="s">
        <v>2918</v>
      </c>
      <c r="C50" s="2948">
        <v>21200</v>
      </c>
      <c r="D50" s="2948">
        <v>26540</v>
      </c>
      <c r="E50" s="2948">
        <v>23200</v>
      </c>
      <c r="F50" s="2948"/>
      <c r="G50" s="2961">
        <v>18580</v>
      </c>
      <c r="N50" s="2948" t="s">
        <v>3042</v>
      </c>
      <c r="Q50" s="2949" t="s">
        <v>3043</v>
      </c>
    </row>
    <row r="51" spans="1:17" ht="14.25" customHeight="1" thickBot="1">
      <c r="A51" s="2948" t="s">
        <v>296</v>
      </c>
      <c r="B51" s="2949" t="s">
        <v>2920</v>
      </c>
      <c r="C51" s="2948">
        <v>23000</v>
      </c>
      <c r="D51" s="2948">
        <v>23460</v>
      </c>
      <c r="E51" s="2948">
        <v>25290</v>
      </c>
      <c r="F51" s="2948"/>
      <c r="G51" s="2961">
        <v>16420</v>
      </c>
      <c r="N51" s="2948" t="s">
        <v>3044</v>
      </c>
      <c r="Q51" s="2955" t="s">
        <v>3045</v>
      </c>
    </row>
    <row r="52" spans="1:17" ht="14.25" customHeight="1">
      <c r="A52" s="2948" t="s">
        <v>296</v>
      </c>
      <c r="B52" s="2949" t="s">
        <v>2924</v>
      </c>
      <c r="C52" s="2948">
        <v>26660</v>
      </c>
      <c r="D52" s="2948">
        <v>22350</v>
      </c>
      <c r="E52" s="2948">
        <v>22920</v>
      </c>
      <c r="F52" s="2948"/>
      <c r="G52" s="2961">
        <v>15640</v>
      </c>
      <c r="N52" s="2948" t="s">
        <v>3046</v>
      </c>
    </row>
    <row r="53" spans="1:17" ht="14.25" customHeight="1">
      <c r="A53" s="2948" t="s">
        <v>296</v>
      </c>
      <c r="B53" s="2949" t="s">
        <v>2929</v>
      </c>
      <c r="C53" s="2948">
        <v>23580</v>
      </c>
      <c r="D53" s="2948"/>
      <c r="E53" s="2948">
        <v>24280</v>
      </c>
      <c r="F53" s="2948"/>
      <c r="G53" s="2961"/>
      <c r="N53" s="2948" t="s">
        <v>3047</v>
      </c>
    </row>
    <row r="54" spans="1:17" ht="14.25" customHeight="1" thickBot="1">
      <c r="A54" s="2962" t="s">
        <v>296</v>
      </c>
      <c r="B54" s="2954" t="s">
        <v>2932</v>
      </c>
      <c r="C54" s="2955">
        <v>22460</v>
      </c>
      <c r="D54" s="2955"/>
      <c r="E54" s="2955"/>
      <c r="F54" s="2955"/>
      <c r="G54" s="2963"/>
      <c r="N54" s="2948" t="s">
        <v>3048</v>
      </c>
    </row>
    <row r="55" spans="1:17" ht="14.25" customHeight="1">
      <c r="A55" s="2953" t="s">
        <v>110</v>
      </c>
      <c r="B55" s="2944" t="s">
        <v>3049</v>
      </c>
      <c r="C55" s="2948">
        <v>21970</v>
      </c>
      <c r="D55" s="2948">
        <v>20370</v>
      </c>
      <c r="E55" s="2948">
        <v>20180</v>
      </c>
      <c r="F55" s="2948">
        <v>5730</v>
      </c>
      <c r="G55" s="2948">
        <v>13820</v>
      </c>
      <c r="N55" s="2948" t="s">
        <v>3050</v>
      </c>
    </row>
    <row r="56" spans="1:17" ht="14.25" customHeight="1">
      <c r="A56" s="2948" t="s">
        <v>110</v>
      </c>
      <c r="B56" s="2948" t="s">
        <v>130</v>
      </c>
      <c r="C56" s="2948">
        <v>20470</v>
      </c>
      <c r="D56" s="2948">
        <v>20700</v>
      </c>
      <c r="E56" s="2948">
        <v>20380</v>
      </c>
      <c r="F56" s="2948">
        <v>4760</v>
      </c>
      <c r="G56" s="2948">
        <v>14050</v>
      </c>
      <c r="N56" s="2948" t="s">
        <v>3051</v>
      </c>
    </row>
    <row r="57" spans="1:17" ht="14.25" customHeight="1">
      <c r="A57" s="2948" t="s">
        <v>110</v>
      </c>
      <c r="B57" s="2948" t="s">
        <v>139</v>
      </c>
      <c r="C57" s="2948">
        <v>20790</v>
      </c>
      <c r="D57" s="2948">
        <v>21370</v>
      </c>
      <c r="E57" s="2948">
        <v>20890</v>
      </c>
      <c r="F57" s="2948">
        <v>4910</v>
      </c>
      <c r="G57" s="2948">
        <v>14510</v>
      </c>
      <c r="N57" s="2948" t="s">
        <v>3052</v>
      </c>
    </row>
    <row r="58" spans="1:17" ht="14.25" customHeight="1">
      <c r="A58" s="2948" t="s">
        <v>110</v>
      </c>
      <c r="B58" s="2948" t="s">
        <v>148</v>
      </c>
      <c r="C58" s="2948">
        <v>21460</v>
      </c>
      <c r="D58" s="2948">
        <v>20920</v>
      </c>
      <c r="E58" s="2948">
        <v>23410</v>
      </c>
      <c r="F58" s="2948">
        <v>5100</v>
      </c>
      <c r="G58" s="2948">
        <v>14200</v>
      </c>
      <c r="N58" s="2948" t="s">
        <v>3053</v>
      </c>
    </row>
    <row r="59" spans="1:17" ht="14.25" customHeight="1">
      <c r="A59" s="2948" t="s">
        <v>110</v>
      </c>
      <c r="B59" s="2948" t="s">
        <v>157</v>
      </c>
      <c r="C59" s="2948">
        <v>21000</v>
      </c>
      <c r="D59" s="2948">
        <v>21550</v>
      </c>
      <c r="E59" s="2948">
        <v>21150</v>
      </c>
      <c r="F59" s="2948">
        <v>5250</v>
      </c>
      <c r="G59" s="2948">
        <v>14630</v>
      </c>
      <c r="N59" s="2948" t="s">
        <v>3054</v>
      </c>
    </row>
    <row r="60" spans="1:17" ht="14.25" customHeight="1">
      <c r="A60" s="2948" t="s">
        <v>110</v>
      </c>
      <c r="B60" s="2948" t="s">
        <v>164</v>
      </c>
      <c r="C60" s="2948">
        <v>21640</v>
      </c>
      <c r="D60" s="2948">
        <v>21260</v>
      </c>
      <c r="E60" s="2948">
        <v>24040</v>
      </c>
      <c r="F60" s="2948">
        <v>4470</v>
      </c>
      <c r="G60" s="2948">
        <v>14430</v>
      </c>
      <c r="N60" s="2948" t="s">
        <v>3055</v>
      </c>
    </row>
    <row r="61" spans="1:17" ht="14.25" customHeight="1">
      <c r="A61" s="2948" t="s">
        <v>110</v>
      </c>
      <c r="B61" s="2948" t="s">
        <v>170</v>
      </c>
      <c r="C61" s="2948">
        <v>21330</v>
      </c>
      <c r="D61" s="2948">
        <v>18640</v>
      </c>
      <c r="E61" s="2948">
        <v>21190</v>
      </c>
      <c r="F61" s="2948">
        <v>4180</v>
      </c>
      <c r="G61" s="2948">
        <v>12650</v>
      </c>
      <c r="N61" s="2948" t="s">
        <v>3056</v>
      </c>
    </row>
    <row r="62" spans="1:17" ht="14.25" customHeight="1">
      <c r="A62" s="2948" t="s">
        <v>110</v>
      </c>
      <c r="B62" s="2948" t="s">
        <v>177</v>
      </c>
      <c r="C62" s="2948">
        <v>18710</v>
      </c>
      <c r="D62" s="2948">
        <v>19400</v>
      </c>
      <c r="E62" s="2948">
        <v>23750</v>
      </c>
      <c r="F62" s="2948">
        <v>4860</v>
      </c>
      <c r="G62" s="2948">
        <v>13170</v>
      </c>
      <c r="N62" s="2948" t="s">
        <v>3057</v>
      </c>
    </row>
    <row r="63" spans="1:17" ht="14.25" customHeight="1">
      <c r="A63" s="2948" t="s">
        <v>110</v>
      </c>
      <c r="B63" s="2948" t="s">
        <v>187</v>
      </c>
      <c r="C63" s="2948">
        <v>19480</v>
      </c>
      <c r="D63" s="2948">
        <v>16830</v>
      </c>
      <c r="E63" s="2948">
        <v>21590</v>
      </c>
      <c r="F63" s="2948">
        <v>4560</v>
      </c>
      <c r="G63" s="2948">
        <v>11420</v>
      </c>
      <c r="N63" s="2948" t="s">
        <v>3058</v>
      </c>
    </row>
    <row r="64" spans="1:17" ht="14.25" customHeight="1" thickBot="1">
      <c r="A64" s="2948" t="s">
        <v>110</v>
      </c>
      <c r="B64" s="2948" t="s">
        <v>196</v>
      </c>
      <c r="C64" s="2948">
        <v>16920</v>
      </c>
      <c r="D64" s="2948">
        <v>19190</v>
      </c>
      <c r="E64" s="2948">
        <v>22200</v>
      </c>
      <c r="F64" s="2948">
        <v>4390</v>
      </c>
      <c r="G64" s="2948">
        <v>13030</v>
      </c>
      <c r="N64" s="2955" t="s">
        <v>3059</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2930</v>
      </c>
      <c r="C78" s="2948">
        <v>19820</v>
      </c>
      <c r="D78" s="2948">
        <v>19780</v>
      </c>
      <c r="E78" s="2948">
        <v>18560</v>
      </c>
      <c r="F78" s="2948"/>
      <c r="G78" s="2948">
        <v>13430</v>
      </c>
    </row>
    <row r="79" spans="1:7" s="2782" customFormat="1" ht="14.25" customHeight="1">
      <c r="A79" s="2948" t="s">
        <v>110</v>
      </c>
      <c r="B79" s="2948" t="s">
        <v>2933</v>
      </c>
      <c r="C79" s="2948">
        <v>21660</v>
      </c>
      <c r="D79" s="2948">
        <v>18000</v>
      </c>
      <c r="E79" s="2948">
        <v>22570</v>
      </c>
      <c r="F79" s="2948"/>
      <c r="G79" s="2948">
        <v>12220</v>
      </c>
    </row>
    <row r="80" spans="1:7" s="2782" customFormat="1" ht="14.25" customHeight="1">
      <c r="A80" s="2948" t="s">
        <v>110</v>
      </c>
      <c r="B80" s="2948" t="s">
        <v>2937</v>
      </c>
      <c r="C80" s="2948">
        <v>19850</v>
      </c>
      <c r="D80" s="2948"/>
      <c r="E80" s="2948">
        <v>21700</v>
      </c>
      <c r="F80" s="2948"/>
      <c r="G80" s="2948"/>
    </row>
    <row r="81" spans="1:7" s="2782" customFormat="1" ht="14.25" customHeight="1">
      <c r="A81" s="2948" t="s">
        <v>110</v>
      </c>
      <c r="B81" s="2948" t="s">
        <v>2942</v>
      </c>
      <c r="C81" s="2948">
        <v>18080</v>
      </c>
      <c r="D81" s="2948"/>
      <c r="E81" s="2948">
        <v>20900</v>
      </c>
      <c r="F81" s="2948"/>
      <c r="G81" s="2948"/>
    </row>
    <row r="82" spans="1:7" s="2782" customFormat="1" ht="14.25" customHeight="1">
      <c r="A82" s="2948" t="s">
        <v>110</v>
      </c>
      <c r="B82" s="2948" t="s">
        <v>2949</v>
      </c>
      <c r="C82" s="2948"/>
      <c r="D82" s="2948"/>
      <c r="E82" s="2948">
        <v>20840</v>
      </c>
      <c r="F82" s="2948"/>
      <c r="G82" s="2948"/>
    </row>
    <row r="83" spans="1:7" s="2782" customFormat="1" ht="14.25" customHeight="1">
      <c r="A83" s="2948" t="s">
        <v>110</v>
      </c>
      <c r="B83" s="2948" t="s">
        <v>3060</v>
      </c>
      <c r="C83" s="2948"/>
      <c r="D83" s="2948"/>
      <c r="E83" s="2948"/>
      <c r="F83" s="2948">
        <v>4770</v>
      </c>
      <c r="G83" s="2948"/>
    </row>
    <row r="84" spans="1:7" s="2782" customFormat="1" ht="14.25" customHeight="1">
      <c r="A84" s="2948" t="s">
        <v>110</v>
      </c>
      <c r="B84" s="2948" t="s">
        <v>3061</v>
      </c>
      <c r="C84" s="2948"/>
      <c r="D84" s="2948"/>
      <c r="E84" s="2948"/>
      <c r="F84" s="2948">
        <v>4600</v>
      </c>
      <c r="G84" s="2948"/>
    </row>
    <row r="85" spans="1:7" s="2782" customFormat="1" ht="14.25" customHeight="1">
      <c r="A85" s="2948" t="s">
        <v>110</v>
      </c>
      <c r="B85" s="2948" t="s">
        <v>3062</v>
      </c>
      <c r="C85" s="2948"/>
      <c r="D85" s="2948"/>
      <c r="E85" s="2948"/>
      <c r="F85" s="2948">
        <v>4680</v>
      </c>
      <c r="G85" s="2948"/>
    </row>
    <row r="86" spans="1:7" s="2782" customFormat="1" ht="14.25" customHeight="1" thickBot="1">
      <c r="A86" s="2956" t="s">
        <v>110</v>
      </c>
      <c r="B86" s="2958" t="s">
        <v>3063</v>
      </c>
      <c r="C86" s="2959">
        <v>16610</v>
      </c>
      <c r="D86" s="2959">
        <v>16540</v>
      </c>
      <c r="E86" s="2959">
        <v>18850</v>
      </c>
      <c r="F86" s="2959"/>
      <c r="G86" s="2959">
        <v>11220</v>
      </c>
    </row>
    <row r="87" spans="1:7" s="2782" customFormat="1" ht="14.25" customHeight="1">
      <c r="A87" s="2953" t="s">
        <v>303</v>
      </c>
      <c r="B87" s="2944" t="s">
        <v>3064</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2943</v>
      </c>
      <c r="C113" s="2948">
        <v>15520</v>
      </c>
      <c r="D113" s="2948">
        <v>15450</v>
      </c>
      <c r="E113" s="2948"/>
      <c r="F113" s="2948"/>
      <c r="G113" s="2961">
        <v>10210</v>
      </c>
    </row>
    <row r="114" spans="1:7" s="2782" customFormat="1" ht="14.25" customHeight="1">
      <c r="A114" s="2948" t="s">
        <v>303</v>
      </c>
      <c r="B114" s="2948" t="s">
        <v>2950</v>
      </c>
      <c r="C114" s="2948">
        <v>13110</v>
      </c>
      <c r="D114" s="2948">
        <v>13050</v>
      </c>
      <c r="E114" s="2948"/>
      <c r="F114" s="2948"/>
      <c r="G114" s="2961">
        <v>8620</v>
      </c>
    </row>
    <row r="115" spans="1:7" s="2782" customFormat="1" ht="14.25" customHeight="1">
      <c r="A115" s="2948" t="s">
        <v>303</v>
      </c>
      <c r="B115" s="2948" t="s">
        <v>2956</v>
      </c>
      <c r="C115" s="2948">
        <v>12460</v>
      </c>
      <c r="D115" s="2948">
        <v>12390</v>
      </c>
      <c r="E115" s="2948"/>
      <c r="F115" s="2948"/>
      <c r="G115" s="2961">
        <v>8190</v>
      </c>
    </row>
    <row r="116" spans="1:7" s="2782" customFormat="1" ht="14.25" customHeight="1">
      <c r="A116" s="2948" t="s">
        <v>303</v>
      </c>
      <c r="B116" s="2948" t="s">
        <v>2963</v>
      </c>
      <c r="C116" s="2948">
        <v>13580</v>
      </c>
      <c r="D116" s="2948">
        <v>13520</v>
      </c>
      <c r="E116" s="2948"/>
      <c r="F116" s="2948"/>
      <c r="G116" s="2961">
        <v>8930</v>
      </c>
    </row>
    <row r="117" spans="1:7" s="2782" customFormat="1" ht="14.25" customHeight="1">
      <c r="A117" s="2948" t="s">
        <v>303</v>
      </c>
      <c r="B117" s="2948" t="s">
        <v>2970</v>
      </c>
      <c r="C117" s="2948">
        <v>17120</v>
      </c>
      <c r="D117" s="2948">
        <v>17040</v>
      </c>
      <c r="E117" s="2948"/>
      <c r="F117" s="2948"/>
      <c r="G117" s="2961">
        <v>11260</v>
      </c>
    </row>
    <row r="118" spans="1:7" s="2782" customFormat="1" ht="14.25" customHeight="1">
      <c r="A118" s="2948" t="s">
        <v>303</v>
      </c>
      <c r="B118" s="2948" t="s">
        <v>2975</v>
      </c>
      <c r="C118" s="2948">
        <v>14860</v>
      </c>
      <c r="D118" s="2948">
        <v>14790</v>
      </c>
      <c r="E118" s="2948"/>
      <c r="F118" s="2948"/>
      <c r="G118" s="2961">
        <v>9780</v>
      </c>
    </row>
    <row r="119" spans="1:7" s="2782" customFormat="1" ht="14.25" customHeight="1">
      <c r="A119" s="2948" t="s">
        <v>303</v>
      </c>
      <c r="B119" s="2948" t="s">
        <v>2979</v>
      </c>
      <c r="C119" s="2948">
        <v>16470</v>
      </c>
      <c r="D119" s="2948">
        <v>16400</v>
      </c>
      <c r="E119" s="2948"/>
      <c r="F119" s="2948"/>
      <c r="G119" s="2961">
        <v>10840</v>
      </c>
    </row>
    <row r="120" spans="1:7" s="2782" customFormat="1" ht="14.25" customHeight="1">
      <c r="A120" s="2948" t="s">
        <v>303</v>
      </c>
      <c r="B120" s="2948" t="s">
        <v>3065</v>
      </c>
      <c r="C120" s="2948"/>
      <c r="D120" s="2948"/>
      <c r="E120" s="2948"/>
      <c r="F120" s="2948">
        <v>4160</v>
      </c>
      <c r="G120" s="2961"/>
    </row>
    <row r="121" spans="1:7" s="2782" customFormat="1" ht="14.25" customHeight="1">
      <c r="A121" s="2948" t="s">
        <v>303</v>
      </c>
      <c r="B121" s="2948" t="s">
        <v>3066</v>
      </c>
      <c r="C121" s="2948"/>
      <c r="D121" s="2948"/>
      <c r="E121" s="2948"/>
      <c r="F121" s="2948">
        <v>3880</v>
      </c>
      <c r="G121" s="2961"/>
    </row>
    <row r="122" spans="1:7" s="2782" customFormat="1" ht="14.25" customHeight="1">
      <c r="A122" s="2948" t="s">
        <v>303</v>
      </c>
      <c r="B122" s="2948" t="s">
        <v>3067</v>
      </c>
      <c r="C122" s="2948">
        <v>13750</v>
      </c>
      <c r="D122" s="2948">
        <v>13680</v>
      </c>
      <c r="E122" s="2948">
        <v>16460</v>
      </c>
      <c r="F122" s="2948">
        <v>2880</v>
      </c>
      <c r="G122" s="2961">
        <v>9040</v>
      </c>
    </row>
    <row r="123" spans="1:7" s="2782" customFormat="1" ht="14.25" customHeight="1">
      <c r="A123" s="2948" t="s">
        <v>303</v>
      </c>
      <c r="B123" s="2948" t="s">
        <v>2998</v>
      </c>
      <c r="C123" s="2948">
        <v>13590</v>
      </c>
      <c r="D123" s="2948">
        <v>13520</v>
      </c>
      <c r="E123" s="2948">
        <v>16290</v>
      </c>
      <c r="F123" s="2948">
        <v>2790</v>
      </c>
      <c r="G123" s="2961">
        <v>8930</v>
      </c>
    </row>
    <row r="124" spans="1:7" s="2782" customFormat="1" ht="14.25" customHeight="1">
      <c r="A124" s="2948" t="s">
        <v>303</v>
      </c>
      <c r="B124" s="2948" t="s">
        <v>3003</v>
      </c>
      <c r="C124" s="2948">
        <v>13400</v>
      </c>
      <c r="D124" s="2948">
        <v>13320</v>
      </c>
      <c r="E124" s="2948">
        <v>16100</v>
      </c>
      <c r="F124" s="2948">
        <v>2320</v>
      </c>
      <c r="G124" s="2961">
        <v>8800</v>
      </c>
    </row>
    <row r="125" spans="1:7" s="2782" customFormat="1" ht="14.25" customHeight="1">
      <c r="A125" s="2948" t="s">
        <v>303</v>
      </c>
      <c r="B125" s="2948" t="s">
        <v>3008</v>
      </c>
      <c r="C125" s="2948">
        <v>12860</v>
      </c>
      <c r="D125" s="2948">
        <v>12790</v>
      </c>
      <c r="E125" s="2948">
        <v>15370</v>
      </c>
      <c r="F125" s="2948">
        <v>2280</v>
      </c>
      <c r="G125" s="2961">
        <v>8450</v>
      </c>
    </row>
    <row r="126" spans="1:7" s="2782" customFormat="1" ht="14.25" customHeight="1" thickBot="1">
      <c r="A126" s="2962" t="s">
        <v>303</v>
      </c>
      <c r="B126" s="2955" t="s">
        <v>3013</v>
      </c>
      <c r="C126" s="2955">
        <v>12960</v>
      </c>
      <c r="D126" s="2955">
        <v>12890</v>
      </c>
      <c r="E126" s="2955">
        <v>15530</v>
      </c>
      <c r="F126" s="2955">
        <v>2910</v>
      </c>
      <c r="G126" s="2963">
        <v>8520</v>
      </c>
    </row>
    <row r="127" spans="1:7" s="2782" customFormat="1" ht="14.25" customHeight="1">
      <c r="A127" s="2953" t="s">
        <v>29</v>
      </c>
      <c r="B127" s="2944" t="s">
        <v>3068</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3069</v>
      </c>
      <c r="C148" s="2948">
        <v>10370</v>
      </c>
      <c r="D148" s="2948">
        <v>10310</v>
      </c>
      <c r="E148" s="2948">
        <v>12970</v>
      </c>
      <c r="F148" s="2948"/>
      <c r="G148" s="2948">
        <v>6630</v>
      </c>
    </row>
    <row r="149" spans="1:7" s="2782" customFormat="1" ht="14.25" customHeight="1">
      <c r="A149" s="2948" t="s">
        <v>29</v>
      </c>
      <c r="B149" s="2948" t="s">
        <v>3070</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2944</v>
      </c>
      <c r="C153" s="2948">
        <v>10880</v>
      </c>
      <c r="D153" s="2948">
        <v>10820</v>
      </c>
      <c r="E153" s="2948">
        <v>13660</v>
      </c>
      <c r="F153" s="2948">
        <v>2260</v>
      </c>
      <c r="G153" s="2948">
        <v>6970</v>
      </c>
    </row>
    <row r="154" spans="1:7" s="2782" customFormat="1" ht="14.25" customHeight="1">
      <c r="A154" s="2948" t="s">
        <v>29</v>
      </c>
      <c r="B154" s="2948" t="s">
        <v>3071</v>
      </c>
      <c r="C154" s="2948">
        <v>11220</v>
      </c>
      <c r="D154" s="2948">
        <v>11160</v>
      </c>
      <c r="E154" s="2948">
        <v>14130</v>
      </c>
      <c r="F154" s="2948">
        <v>2230</v>
      </c>
      <c r="G154" s="2948">
        <v>7180</v>
      </c>
    </row>
    <row r="155" spans="1:7" s="2782" customFormat="1" ht="14.25" customHeight="1">
      <c r="A155" s="2948" t="s">
        <v>29</v>
      </c>
      <c r="B155" s="2948" t="s">
        <v>2957</v>
      </c>
      <c r="C155" s="2948">
        <v>10430</v>
      </c>
      <c r="D155" s="2948">
        <v>10380</v>
      </c>
      <c r="E155" s="2948">
        <v>13140</v>
      </c>
      <c r="F155" s="2948">
        <v>2080</v>
      </c>
      <c r="G155" s="2948">
        <v>6650</v>
      </c>
    </row>
    <row r="156" spans="1:7" s="2782" customFormat="1" ht="14.25" customHeight="1">
      <c r="A156" s="2948" t="s">
        <v>29</v>
      </c>
      <c r="B156" s="2948" t="s">
        <v>3072</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3073</v>
      </c>
      <c r="C160" s="2948">
        <v>11180</v>
      </c>
      <c r="D160" s="2948">
        <v>11140</v>
      </c>
      <c r="E160" s="2948">
        <v>14050</v>
      </c>
      <c r="F160" s="2948">
        <v>2270</v>
      </c>
      <c r="G160" s="2948">
        <v>7170</v>
      </c>
    </row>
    <row r="161" spans="1:7" s="2782" customFormat="1" ht="14.25" customHeight="1">
      <c r="A161" s="2948" t="s">
        <v>29</v>
      </c>
      <c r="B161" s="2948" t="s">
        <v>2989</v>
      </c>
      <c r="C161" s="2948">
        <v>11160</v>
      </c>
      <c r="D161" s="2948">
        <v>11120</v>
      </c>
      <c r="E161" s="2948">
        <v>14020</v>
      </c>
      <c r="F161" s="2948">
        <v>2150</v>
      </c>
      <c r="G161" s="2948">
        <v>7160</v>
      </c>
    </row>
    <row r="162" spans="1:7" s="2782" customFormat="1" ht="14.25" customHeight="1">
      <c r="A162" s="2948" t="s">
        <v>29</v>
      </c>
      <c r="B162" s="2948" t="s">
        <v>2994</v>
      </c>
      <c r="C162" s="2948">
        <v>9620</v>
      </c>
      <c r="D162" s="2948">
        <v>9570</v>
      </c>
      <c r="E162" s="2948">
        <v>12320</v>
      </c>
      <c r="F162" s="2948">
        <v>2010</v>
      </c>
      <c r="G162" s="2948">
        <v>6160</v>
      </c>
    </row>
    <row r="163" spans="1:7" s="2782" customFormat="1" ht="14.25" customHeight="1">
      <c r="A163" s="2948" t="s">
        <v>29</v>
      </c>
      <c r="B163" s="2948" t="s">
        <v>2999</v>
      </c>
      <c r="C163" s="2948">
        <v>9320</v>
      </c>
      <c r="D163" s="2948">
        <v>9270</v>
      </c>
      <c r="E163" s="2948">
        <v>11790</v>
      </c>
      <c r="F163" s="2948">
        <v>1920</v>
      </c>
      <c r="G163" s="2948">
        <v>5960</v>
      </c>
    </row>
    <row r="164" spans="1:7" s="2782" customFormat="1" ht="14.25" customHeight="1">
      <c r="A164" s="2948" t="s">
        <v>29</v>
      </c>
      <c r="B164" s="2948" t="s">
        <v>3004</v>
      </c>
      <c r="C164" s="2948"/>
      <c r="D164" s="2948"/>
      <c r="E164" s="2948"/>
      <c r="F164" s="2948">
        <v>1980</v>
      </c>
      <c r="G164" s="2948"/>
    </row>
    <row r="165" spans="1:7" s="2782" customFormat="1" ht="14.25" customHeight="1">
      <c r="A165" s="2948" t="s">
        <v>29</v>
      </c>
      <c r="B165" s="2948" t="s">
        <v>3074</v>
      </c>
      <c r="C165" s="2948">
        <v>11060</v>
      </c>
      <c r="D165" s="2948">
        <v>11030</v>
      </c>
      <c r="E165" s="2948">
        <v>13850</v>
      </c>
      <c r="F165" s="2948">
        <v>2170</v>
      </c>
      <c r="G165" s="2948">
        <v>7090</v>
      </c>
    </row>
    <row r="166" spans="1:7" s="2782" customFormat="1" ht="14.25" customHeight="1">
      <c r="A166" s="2948" t="s">
        <v>29</v>
      </c>
      <c r="B166" s="2948" t="s">
        <v>3014</v>
      </c>
      <c r="C166" s="2948">
        <v>11050</v>
      </c>
      <c r="D166" s="2948">
        <v>11010</v>
      </c>
      <c r="E166" s="2948">
        <v>13920</v>
      </c>
      <c r="F166" s="2948">
        <v>2140</v>
      </c>
      <c r="G166" s="2948">
        <v>7080</v>
      </c>
    </row>
    <row r="167" spans="1:7" s="2782" customFormat="1" ht="14.25" customHeight="1">
      <c r="A167" s="2948" t="s">
        <v>29</v>
      </c>
      <c r="B167" s="2948" t="s">
        <v>3018</v>
      </c>
      <c r="C167" s="2948">
        <v>10930</v>
      </c>
      <c r="D167" s="2948">
        <v>10890</v>
      </c>
      <c r="E167" s="2948">
        <v>13790</v>
      </c>
      <c r="F167" s="2948">
        <v>2010</v>
      </c>
      <c r="G167" s="2948">
        <v>7000</v>
      </c>
    </row>
    <row r="168" spans="1:7" s="2782" customFormat="1" ht="14.25" customHeight="1">
      <c r="A168" s="2948" t="s">
        <v>29</v>
      </c>
      <c r="B168" s="2948" t="s">
        <v>3023</v>
      </c>
      <c r="C168" s="2948">
        <v>9420</v>
      </c>
      <c r="D168" s="2948">
        <v>9380</v>
      </c>
      <c r="E168" s="2948">
        <v>11970</v>
      </c>
      <c r="F168" s="2948"/>
      <c r="G168" s="2948">
        <v>6040</v>
      </c>
    </row>
    <row r="169" spans="1:7" s="2782" customFormat="1" ht="14.25" customHeight="1">
      <c r="A169" s="2948" t="s">
        <v>29</v>
      </c>
      <c r="B169" s="2948" t="s">
        <v>3075</v>
      </c>
      <c r="C169" s="2948"/>
      <c r="D169" s="2948"/>
      <c r="E169" s="2948"/>
      <c r="F169" s="2948">
        <v>2880</v>
      </c>
      <c r="G169" s="2948"/>
    </row>
    <row r="170" spans="1:7" s="2782" customFormat="1" ht="14.25" customHeight="1">
      <c r="A170" s="2948" t="s">
        <v>29</v>
      </c>
      <c r="B170" s="2948" t="s">
        <v>3031</v>
      </c>
      <c r="C170" s="2948"/>
      <c r="D170" s="2948"/>
      <c r="E170" s="2948"/>
      <c r="F170" s="2948">
        <v>2880</v>
      </c>
      <c r="G170" s="2948"/>
    </row>
    <row r="171" spans="1:7" s="2782" customFormat="1" ht="14.25" customHeight="1">
      <c r="A171" s="2948" t="s">
        <v>29</v>
      </c>
      <c r="B171" s="2948" t="s">
        <v>3034</v>
      </c>
      <c r="C171" s="2948"/>
      <c r="D171" s="2948"/>
      <c r="E171" s="2948"/>
      <c r="F171" s="2948">
        <v>2880</v>
      </c>
      <c r="G171" s="2948"/>
    </row>
    <row r="172" spans="1:7" s="2782" customFormat="1" ht="14.25" customHeight="1">
      <c r="A172" s="2948" t="s">
        <v>29</v>
      </c>
      <c r="B172" s="2948" t="s">
        <v>3036</v>
      </c>
      <c r="C172" s="2948"/>
      <c r="D172" s="2948"/>
      <c r="E172" s="2948"/>
      <c r="F172" s="2948">
        <v>2880</v>
      </c>
      <c r="G172" s="2948"/>
    </row>
    <row r="173" spans="1:7" s="2782" customFormat="1" ht="14.25" customHeight="1">
      <c r="A173" s="2948" t="s">
        <v>29</v>
      </c>
      <c r="B173" s="2948" t="s">
        <v>3038</v>
      </c>
      <c r="C173" s="2948"/>
      <c r="D173" s="2948"/>
      <c r="E173" s="2948"/>
      <c r="F173" s="2948">
        <v>2150</v>
      </c>
      <c r="G173" s="2948"/>
    </row>
    <row r="174" spans="1:7" s="2782" customFormat="1" ht="14.25" customHeight="1">
      <c r="A174" s="2948" t="s">
        <v>29</v>
      </c>
      <c r="B174" s="2948" t="s">
        <v>3040</v>
      </c>
      <c r="C174" s="2948"/>
      <c r="D174" s="2948"/>
      <c r="E174" s="2948"/>
      <c r="F174" s="2948">
        <v>2030</v>
      </c>
      <c r="G174" s="2948"/>
    </row>
    <row r="175" spans="1:7" s="2782" customFormat="1" ht="14.25" customHeight="1">
      <c r="A175" s="2948" t="s">
        <v>29</v>
      </c>
      <c r="B175" s="2948" t="s">
        <v>3042</v>
      </c>
      <c r="C175" s="2948"/>
      <c r="D175" s="2948"/>
      <c r="E175" s="2948"/>
      <c r="F175" s="2948">
        <v>2780</v>
      </c>
      <c r="G175" s="2948"/>
    </row>
    <row r="176" spans="1:7" s="2782" customFormat="1" ht="14.25" customHeight="1">
      <c r="A176" s="2948" t="s">
        <v>29</v>
      </c>
      <c r="B176" s="2948" t="s">
        <v>3044</v>
      </c>
      <c r="C176" s="2948"/>
      <c r="D176" s="2948"/>
      <c r="E176" s="2948"/>
      <c r="F176" s="2948">
        <v>2780</v>
      </c>
      <c r="G176" s="2948"/>
    </row>
    <row r="177" spans="1:7" s="2782" customFormat="1" ht="14.25" customHeight="1">
      <c r="A177" s="2948" t="s">
        <v>29</v>
      </c>
      <c r="B177" s="2948" t="s">
        <v>3076</v>
      </c>
      <c r="C177" s="2948"/>
      <c r="D177" s="2948"/>
      <c r="E177" s="2948"/>
      <c r="F177" s="2948">
        <v>2780</v>
      </c>
      <c r="G177" s="2948"/>
    </row>
    <row r="178" spans="1:7" s="2782" customFormat="1" ht="14.25" customHeight="1">
      <c r="A178" s="2948" t="s">
        <v>29</v>
      </c>
      <c r="B178" s="2948" t="s">
        <v>3077</v>
      </c>
      <c r="C178" s="2948"/>
      <c r="D178" s="2948"/>
      <c r="E178" s="2948"/>
      <c r="F178" s="2948">
        <v>2060</v>
      </c>
      <c r="G178" s="2948"/>
    </row>
    <row r="179" spans="1:7" s="2782" customFormat="1" ht="14.25" customHeight="1">
      <c r="A179" s="2948" t="s">
        <v>29</v>
      </c>
      <c r="B179" s="2948" t="s">
        <v>3078</v>
      </c>
      <c r="C179" s="2948"/>
      <c r="D179" s="2948"/>
      <c r="E179" s="2948"/>
      <c r="F179" s="2948">
        <v>2120</v>
      </c>
      <c r="G179" s="2948"/>
    </row>
    <row r="180" spans="1:7" s="2782" customFormat="1" ht="14.25" customHeight="1">
      <c r="A180" s="2948" t="s">
        <v>29</v>
      </c>
      <c r="B180" s="2948" t="s">
        <v>3050</v>
      </c>
      <c r="C180" s="2948"/>
      <c r="D180" s="2948"/>
      <c r="E180" s="2948"/>
      <c r="F180" s="2948">
        <v>2340</v>
      </c>
      <c r="G180" s="2948"/>
    </row>
    <row r="181" spans="1:7" s="2782" customFormat="1" ht="14.25" customHeight="1">
      <c r="A181" s="2948" t="s">
        <v>29</v>
      </c>
      <c r="B181" s="2948" t="s">
        <v>3051</v>
      </c>
      <c r="C181" s="2948"/>
      <c r="D181" s="2948"/>
      <c r="E181" s="2948"/>
      <c r="F181" s="2948">
        <v>2340</v>
      </c>
      <c r="G181" s="2948"/>
    </row>
    <row r="182" spans="1:7" s="2782" customFormat="1" ht="14.25" customHeight="1">
      <c r="A182" s="2948" t="s">
        <v>29</v>
      </c>
      <c r="B182" s="2948" t="s">
        <v>3052</v>
      </c>
      <c r="C182" s="2948"/>
      <c r="D182" s="2948"/>
      <c r="E182" s="2948"/>
      <c r="F182" s="2948">
        <v>2340</v>
      </c>
      <c r="G182" s="2948"/>
    </row>
    <row r="183" spans="1:7" s="2782" customFormat="1" ht="14.25" customHeight="1">
      <c r="A183" s="2948" t="s">
        <v>29</v>
      </c>
      <c r="B183" s="2948" t="s">
        <v>3053</v>
      </c>
      <c r="C183" s="2948"/>
      <c r="D183" s="2948"/>
      <c r="E183" s="2948"/>
      <c r="F183" s="2948">
        <v>2340</v>
      </c>
      <c r="G183" s="2948"/>
    </row>
    <row r="184" spans="1:7" s="2782" customFormat="1" ht="14.25" customHeight="1">
      <c r="A184" s="2948" t="s">
        <v>29</v>
      </c>
      <c r="B184" s="2948" t="s">
        <v>3054</v>
      </c>
      <c r="C184" s="2948"/>
      <c r="D184" s="2948"/>
      <c r="E184" s="2948"/>
      <c r="F184" s="2948">
        <v>2340</v>
      </c>
      <c r="G184" s="2948"/>
    </row>
    <row r="185" spans="1:7" s="2782" customFormat="1" ht="14.25" customHeight="1">
      <c r="A185" s="2948" t="s">
        <v>29</v>
      </c>
      <c r="B185" s="2948" t="s">
        <v>3055</v>
      </c>
      <c r="C185" s="2948"/>
      <c r="D185" s="2948"/>
      <c r="E185" s="2948"/>
      <c r="F185" s="2948">
        <v>2530</v>
      </c>
      <c r="G185" s="2948"/>
    </row>
    <row r="186" spans="1:7" s="2782" customFormat="1" ht="14.25" customHeight="1">
      <c r="A186" s="2948" t="s">
        <v>29</v>
      </c>
      <c r="B186" s="2948" t="s">
        <v>3056</v>
      </c>
      <c r="C186" s="2948"/>
      <c r="D186" s="2948"/>
      <c r="E186" s="2948"/>
      <c r="F186" s="2948">
        <v>2550</v>
      </c>
      <c r="G186" s="2948"/>
    </row>
    <row r="187" spans="1:7" s="2782" customFormat="1" ht="14.25" customHeight="1">
      <c r="A187" s="2948" t="s">
        <v>29</v>
      </c>
      <c r="B187" s="2948" t="s">
        <v>3057</v>
      </c>
      <c r="C187" s="2948"/>
      <c r="D187" s="2948"/>
      <c r="E187" s="2948"/>
      <c r="F187" s="2948">
        <v>2070</v>
      </c>
      <c r="G187" s="2948"/>
    </row>
    <row r="188" spans="1:7" s="2782" customFormat="1" ht="14.25" customHeight="1">
      <c r="A188" s="2948" t="s">
        <v>29</v>
      </c>
      <c r="B188" s="2948" t="s">
        <v>3058</v>
      </c>
      <c r="C188" s="2948"/>
      <c r="D188" s="2948"/>
      <c r="E188" s="2948"/>
      <c r="F188" s="2948">
        <v>2340</v>
      </c>
      <c r="G188" s="2948"/>
    </row>
    <row r="189" spans="1:7" s="2782" customFormat="1" ht="14.25" customHeight="1" thickBot="1">
      <c r="A189" s="2956" t="s">
        <v>29</v>
      </c>
      <c r="B189" s="2959" t="s">
        <v>3059</v>
      </c>
      <c r="C189" s="2959"/>
      <c r="D189" s="2959"/>
      <c r="E189" s="2959"/>
      <c r="F189" s="2959">
        <v>2050</v>
      </c>
      <c r="G189" s="2959"/>
    </row>
    <row r="190" spans="1:7" s="2782" customFormat="1" ht="14.25" customHeight="1">
      <c r="A190" s="2953" t="s">
        <v>304</v>
      </c>
      <c r="B190" s="2944" t="s">
        <v>3079</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3080</v>
      </c>
      <c r="C199" s="2948">
        <v>8690</v>
      </c>
      <c r="D199" s="2948">
        <v>8630</v>
      </c>
      <c r="E199" s="2948">
        <v>11350</v>
      </c>
      <c r="F199" s="2948">
        <v>1600</v>
      </c>
      <c r="G199" s="2961">
        <v>5450</v>
      </c>
    </row>
    <row r="200" spans="1:7" s="2782" customFormat="1" ht="14.25" customHeight="1">
      <c r="A200" s="2948" t="s">
        <v>304</v>
      </c>
      <c r="B200" s="2948" t="s">
        <v>2891</v>
      </c>
      <c r="C200" s="2948"/>
      <c r="D200" s="2948"/>
      <c r="E200" s="2948"/>
      <c r="F200" s="2948">
        <v>1510</v>
      </c>
      <c r="G200" s="2961"/>
    </row>
    <row r="201" spans="1:7" s="2782" customFormat="1" ht="14.25" customHeight="1">
      <c r="A201" s="2948" t="s">
        <v>304</v>
      </c>
      <c r="B201" s="2948" t="s">
        <v>3081</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3082</v>
      </c>
      <c r="C203" s="2948">
        <v>8130</v>
      </c>
      <c r="D203" s="2948">
        <v>8070</v>
      </c>
      <c r="E203" s="2948">
        <v>10820</v>
      </c>
      <c r="F203" s="2948">
        <v>1690</v>
      </c>
      <c r="G203" s="2961">
        <v>5100</v>
      </c>
    </row>
    <row r="204" spans="1:7" s="2782" customFormat="1" ht="14.25" customHeight="1">
      <c r="A204" s="2948" t="s">
        <v>304</v>
      </c>
      <c r="B204" s="2948" t="s">
        <v>2902</v>
      </c>
      <c r="C204" s="2948">
        <v>8350</v>
      </c>
      <c r="D204" s="2948">
        <v>8290</v>
      </c>
      <c r="E204" s="2948">
        <v>11080</v>
      </c>
      <c r="F204" s="2948">
        <v>1450</v>
      </c>
      <c r="G204" s="2961">
        <v>5240</v>
      </c>
    </row>
    <row r="205" spans="1:7" s="2782" customFormat="1" ht="14.25" customHeight="1">
      <c r="A205" s="2948" t="s">
        <v>304</v>
      </c>
      <c r="B205" s="2948" t="s">
        <v>2904</v>
      </c>
      <c r="C205" s="2948">
        <v>7190</v>
      </c>
      <c r="D205" s="2948">
        <v>7130</v>
      </c>
      <c r="E205" s="2948">
        <v>9490</v>
      </c>
      <c r="F205" s="2948">
        <v>1470</v>
      </c>
      <c r="G205" s="2961">
        <v>4510</v>
      </c>
    </row>
    <row r="206" spans="1:7" s="2782" customFormat="1" ht="14.25" customHeight="1">
      <c r="A206" s="2948" t="s">
        <v>304</v>
      </c>
      <c r="B206" s="2948" t="s">
        <v>2907</v>
      </c>
      <c r="C206" s="2948">
        <v>7000</v>
      </c>
      <c r="D206" s="2948">
        <v>6950</v>
      </c>
      <c r="E206" s="2948">
        <v>9170</v>
      </c>
      <c r="F206" s="2948">
        <v>1400</v>
      </c>
      <c r="G206" s="2961">
        <v>4380</v>
      </c>
    </row>
    <row r="207" spans="1:7" s="2782" customFormat="1" ht="14.25" customHeight="1">
      <c r="A207" s="2948" t="s">
        <v>304</v>
      </c>
      <c r="B207" s="2948" t="s">
        <v>2909</v>
      </c>
      <c r="C207" s="2948">
        <v>6950</v>
      </c>
      <c r="D207" s="2948">
        <v>6900</v>
      </c>
      <c r="E207" s="2948">
        <v>9110</v>
      </c>
      <c r="F207" s="2948">
        <v>1790</v>
      </c>
      <c r="G207" s="2961">
        <v>4360</v>
      </c>
    </row>
    <row r="208" spans="1:7" s="2782" customFormat="1" ht="14.25" customHeight="1">
      <c r="A208" s="2948" t="s">
        <v>304</v>
      </c>
      <c r="B208" s="2948" t="s">
        <v>3083</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2919</v>
      </c>
      <c r="C210" s="2948">
        <v>8710</v>
      </c>
      <c r="D210" s="2948">
        <v>8660</v>
      </c>
      <c r="E210" s="2948">
        <v>11440</v>
      </c>
      <c r="F210" s="2948">
        <v>1740</v>
      </c>
      <c r="G210" s="2961">
        <v>5470</v>
      </c>
    </row>
    <row r="211" spans="1:7" s="2782" customFormat="1" ht="14.25" customHeight="1">
      <c r="A211" s="2948" t="s">
        <v>304</v>
      </c>
      <c r="B211" s="2948" t="s">
        <v>3084</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3085</v>
      </c>
      <c r="C214" s="2948">
        <v>8090</v>
      </c>
      <c r="D214" s="2948">
        <v>8030</v>
      </c>
      <c r="E214" s="2948">
        <v>10780</v>
      </c>
      <c r="F214" s="2948">
        <v>1570</v>
      </c>
      <c r="G214" s="2961">
        <v>5070</v>
      </c>
    </row>
    <row r="215" spans="1:7" s="2782" customFormat="1" ht="14.25" customHeight="1">
      <c r="A215" s="2948" t="s">
        <v>304</v>
      </c>
      <c r="B215" s="2948" t="s">
        <v>3086</v>
      </c>
      <c r="C215" s="2948">
        <v>7950</v>
      </c>
      <c r="D215" s="2948">
        <v>7900</v>
      </c>
      <c r="E215" s="2948">
        <v>10560</v>
      </c>
      <c r="F215" s="2948">
        <v>1630</v>
      </c>
      <c r="G215" s="2961">
        <v>4990</v>
      </c>
    </row>
    <row r="216" spans="1:7" s="2782" customFormat="1" ht="14.25" customHeight="1">
      <c r="A216" s="2948" t="s">
        <v>304</v>
      </c>
      <c r="B216" s="2948" t="s">
        <v>3087</v>
      </c>
      <c r="C216" s="2948">
        <v>8490</v>
      </c>
      <c r="D216" s="2948">
        <v>8440</v>
      </c>
      <c r="E216" s="2948">
        <v>11260</v>
      </c>
      <c r="F216" s="2948">
        <v>1690</v>
      </c>
      <c r="G216" s="2961">
        <v>5330</v>
      </c>
    </row>
    <row r="217" spans="1:7" s="2782" customFormat="1" ht="14.25" customHeight="1">
      <c r="A217" s="2948" t="s">
        <v>304</v>
      </c>
      <c r="B217" s="2948" t="s">
        <v>2952</v>
      </c>
      <c r="C217" s="2948">
        <v>8200</v>
      </c>
      <c r="D217" s="2948">
        <v>8150</v>
      </c>
      <c r="E217" s="2948">
        <v>10910</v>
      </c>
      <c r="F217" s="2948">
        <v>1670</v>
      </c>
      <c r="G217" s="2961">
        <v>5150</v>
      </c>
    </row>
    <row r="218" spans="1:7" s="2782" customFormat="1" ht="14.25" customHeight="1">
      <c r="A218" s="2948" t="s">
        <v>304</v>
      </c>
      <c r="B218" s="2948" t="s">
        <v>3088</v>
      </c>
      <c r="C218" s="2948"/>
      <c r="D218" s="2948"/>
      <c r="E218" s="2948"/>
      <c r="F218" s="2948">
        <v>2040</v>
      </c>
      <c r="G218" s="2961"/>
    </row>
    <row r="219" spans="1:7" s="2782" customFormat="1" ht="14.25" customHeight="1">
      <c r="A219" s="2948" t="s">
        <v>304</v>
      </c>
      <c r="B219" s="2948" t="s">
        <v>3089</v>
      </c>
      <c r="C219" s="2948"/>
      <c r="D219" s="2948"/>
      <c r="E219" s="2948"/>
      <c r="F219" s="2948">
        <v>2040</v>
      </c>
      <c r="G219" s="2961"/>
    </row>
    <row r="220" spans="1:7" s="2782" customFormat="1" ht="14.25" customHeight="1">
      <c r="A220" s="2948" t="s">
        <v>304</v>
      </c>
      <c r="B220" s="2948" t="s">
        <v>3090</v>
      </c>
      <c r="C220" s="2948"/>
      <c r="D220" s="2948"/>
      <c r="E220" s="2948"/>
      <c r="F220" s="2948">
        <v>2040</v>
      </c>
      <c r="G220" s="2961"/>
    </row>
    <row r="221" spans="1:7" s="2782" customFormat="1" ht="14.25" customHeight="1">
      <c r="A221" s="2948" t="s">
        <v>304</v>
      </c>
      <c r="B221" s="2948" t="s">
        <v>3091</v>
      </c>
      <c r="C221" s="2948"/>
      <c r="D221" s="2948"/>
      <c r="E221" s="2948"/>
      <c r="F221" s="2948">
        <v>2040</v>
      </c>
      <c r="G221" s="2961"/>
    </row>
    <row r="222" spans="1:7" s="2782" customFormat="1" ht="14.25" customHeight="1">
      <c r="A222" s="2948" t="s">
        <v>304</v>
      </c>
      <c r="B222" s="2948" t="s">
        <v>3092</v>
      </c>
      <c r="C222" s="2948"/>
      <c r="D222" s="2948"/>
      <c r="E222" s="2948"/>
      <c r="F222" s="2948">
        <v>2040</v>
      </c>
      <c r="G222" s="2961"/>
    </row>
    <row r="223" spans="1:7" s="2782" customFormat="1" ht="14.25" customHeight="1">
      <c r="A223" s="2948" t="s">
        <v>304</v>
      </c>
      <c r="B223" s="2948" t="s">
        <v>3093</v>
      </c>
      <c r="C223" s="2948"/>
      <c r="D223" s="2948"/>
      <c r="E223" s="2948"/>
      <c r="F223" s="2948">
        <v>1930</v>
      </c>
      <c r="G223" s="2961"/>
    </row>
    <row r="224" spans="1:7" s="2782" customFormat="1" ht="14.25" customHeight="1">
      <c r="A224" s="2948" t="s">
        <v>304</v>
      </c>
      <c r="B224" s="2948" t="s">
        <v>3094</v>
      </c>
      <c r="C224" s="2948"/>
      <c r="D224" s="2948"/>
      <c r="E224" s="2948"/>
      <c r="F224" s="2948">
        <v>1930</v>
      </c>
      <c r="G224" s="2961"/>
    </row>
    <row r="225" spans="1:7" s="2782" customFormat="1" ht="14.25" customHeight="1">
      <c r="A225" s="2948" t="s">
        <v>304</v>
      </c>
      <c r="B225" s="2948" t="s">
        <v>3095</v>
      </c>
      <c r="C225" s="2948"/>
      <c r="D225" s="2948"/>
      <c r="E225" s="2948"/>
      <c r="F225" s="2948">
        <v>1930</v>
      </c>
      <c r="G225" s="2961"/>
    </row>
    <row r="226" spans="1:7" s="2782" customFormat="1" ht="14.25" customHeight="1">
      <c r="A226" s="2948" t="s">
        <v>304</v>
      </c>
      <c r="B226" s="2948" t="s">
        <v>3096</v>
      </c>
      <c r="C226" s="2948"/>
      <c r="D226" s="2948"/>
      <c r="E226" s="2948"/>
      <c r="F226" s="2948">
        <v>1700</v>
      </c>
      <c r="G226" s="2961"/>
    </row>
    <row r="227" spans="1:7" s="2782" customFormat="1" ht="14.25" customHeight="1">
      <c r="A227" s="2948" t="s">
        <v>304</v>
      </c>
      <c r="B227" s="2948" t="s">
        <v>3097</v>
      </c>
      <c r="C227" s="2948"/>
      <c r="D227" s="2948"/>
      <c r="E227" s="2948"/>
      <c r="F227" s="2948">
        <v>1520</v>
      </c>
      <c r="G227" s="2961"/>
    </row>
    <row r="228" spans="1:7" s="2782" customFormat="1" ht="14.25" customHeight="1">
      <c r="A228" s="2948" t="s">
        <v>304</v>
      </c>
      <c r="B228" s="2948" t="s">
        <v>3098</v>
      </c>
      <c r="C228" s="2948"/>
      <c r="D228" s="2948"/>
      <c r="E228" s="2948"/>
      <c r="F228" s="2948">
        <v>1520</v>
      </c>
      <c r="G228" s="2961"/>
    </row>
    <row r="229" spans="1:7" s="2782" customFormat="1" ht="14.25" customHeight="1">
      <c r="A229" s="2948" t="s">
        <v>304</v>
      </c>
      <c r="B229" s="2948" t="s">
        <v>3015</v>
      </c>
      <c r="C229" s="2948"/>
      <c r="D229" s="2948"/>
      <c r="E229" s="2948"/>
      <c r="F229" s="2948">
        <v>1520</v>
      </c>
      <c r="G229" s="2961"/>
    </row>
    <row r="230" spans="1:7" s="2782" customFormat="1" ht="14.25" customHeight="1">
      <c r="A230" s="2948" t="s">
        <v>304</v>
      </c>
      <c r="B230" s="2948" t="s">
        <v>3099</v>
      </c>
      <c r="C230" s="2948"/>
      <c r="D230" s="2948"/>
      <c r="E230" s="2948"/>
      <c r="F230" s="2948">
        <v>1820</v>
      </c>
      <c r="G230" s="2961"/>
    </row>
    <row r="231" spans="1:7" s="2782" customFormat="1" ht="14.25" customHeight="1">
      <c r="A231" s="2948" t="s">
        <v>304</v>
      </c>
      <c r="B231" s="2948" t="s">
        <v>3100</v>
      </c>
      <c r="C231" s="2948"/>
      <c r="D231" s="2948"/>
      <c r="E231" s="2948"/>
      <c r="F231" s="2948">
        <v>1760</v>
      </c>
      <c r="G231" s="2961"/>
    </row>
    <row r="232" spans="1:7" s="2782" customFormat="1" ht="14.25" customHeight="1">
      <c r="A232" s="2948" t="s">
        <v>304</v>
      </c>
      <c r="B232" s="2948" t="s">
        <v>3101</v>
      </c>
      <c r="C232" s="2948"/>
      <c r="D232" s="2948"/>
      <c r="E232" s="2948"/>
      <c r="F232" s="2948">
        <v>1840</v>
      </c>
      <c r="G232" s="2961"/>
    </row>
    <row r="233" spans="1:7" s="2782" customFormat="1" ht="14.25" customHeight="1" thickBot="1">
      <c r="A233" s="2962" t="s">
        <v>304</v>
      </c>
      <c r="B233" s="2955" t="s">
        <v>3032</v>
      </c>
      <c r="C233" s="2955"/>
      <c r="D233" s="2955"/>
      <c r="E233" s="2955"/>
      <c r="F233" s="2955">
        <v>1770</v>
      </c>
      <c r="G233" s="2963"/>
    </row>
    <row r="234" spans="1:7" s="2782" customFormat="1" ht="14.25" customHeight="1">
      <c r="A234" s="2953" t="s">
        <v>305</v>
      </c>
      <c r="B234" s="2944" t="s">
        <v>3102</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2873</v>
      </c>
      <c r="C238" s="2948">
        <v>6920</v>
      </c>
      <c r="D238" s="2948">
        <v>6890</v>
      </c>
      <c r="E238" s="2948">
        <v>8640</v>
      </c>
      <c r="F238" s="2948">
        <v>1310</v>
      </c>
      <c r="G238" s="2948">
        <v>4230</v>
      </c>
    </row>
    <row r="239" spans="1:7" s="2782" customFormat="1" ht="14.25" customHeight="1">
      <c r="A239" s="2948" t="s">
        <v>305</v>
      </c>
      <c r="B239" s="2948" t="s">
        <v>3103</v>
      </c>
      <c r="C239" s="2948">
        <v>6780</v>
      </c>
      <c r="D239" s="2948">
        <v>6750</v>
      </c>
      <c r="E239" s="2948">
        <v>8440</v>
      </c>
      <c r="F239" s="2948">
        <v>1160</v>
      </c>
      <c r="G239" s="2948">
        <v>4140</v>
      </c>
    </row>
    <row r="240" spans="1:7" s="2782" customFormat="1" ht="14.25" customHeight="1">
      <c r="A240" s="2948" t="s">
        <v>305</v>
      </c>
      <c r="B240" s="2948" t="s">
        <v>3104</v>
      </c>
      <c r="C240" s="2948">
        <v>5420</v>
      </c>
      <c r="D240" s="2948">
        <v>5380</v>
      </c>
      <c r="E240" s="2948">
        <v>6640</v>
      </c>
      <c r="F240" s="2948">
        <v>1020</v>
      </c>
      <c r="G240" s="2948">
        <v>3300</v>
      </c>
    </row>
    <row r="241" spans="1:7" s="2782" customFormat="1" ht="14.25" customHeight="1">
      <c r="A241" s="2948" t="s">
        <v>305</v>
      </c>
      <c r="B241" s="2948" t="s">
        <v>3105</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3106</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3107</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3108</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3109</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3110</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2935</v>
      </c>
      <c r="C258" s="2948">
        <v>6190</v>
      </c>
      <c r="D258" s="2948">
        <v>6160</v>
      </c>
      <c r="E258" s="2948">
        <v>7680</v>
      </c>
      <c r="F258" s="2948">
        <v>1170</v>
      </c>
      <c r="G258" s="2948">
        <v>3780</v>
      </c>
    </row>
    <row r="259" spans="1:7" s="2782" customFormat="1" ht="14.25" customHeight="1">
      <c r="A259" s="2948" t="s">
        <v>305</v>
      </c>
      <c r="B259" s="2948" t="s">
        <v>3111</v>
      </c>
      <c r="C259" s="2948">
        <v>7610</v>
      </c>
      <c r="D259" s="2948">
        <v>7570</v>
      </c>
      <c r="E259" s="2948">
        <v>9350</v>
      </c>
      <c r="F259" s="2948">
        <v>1350</v>
      </c>
      <c r="G259" s="2948">
        <v>4650</v>
      </c>
    </row>
    <row r="260" spans="1:7" s="2782" customFormat="1" ht="14.25" customHeight="1">
      <c r="A260" s="2948" t="s">
        <v>305</v>
      </c>
      <c r="B260" s="2948" t="s">
        <v>3112</v>
      </c>
      <c r="C260" s="2948">
        <v>6920</v>
      </c>
      <c r="D260" s="2948">
        <v>6880</v>
      </c>
      <c r="E260" s="2948">
        <v>8380</v>
      </c>
      <c r="F260" s="2948">
        <v>1160</v>
      </c>
      <c r="G260" s="2948">
        <v>4220</v>
      </c>
    </row>
    <row r="261" spans="1:7" s="2782" customFormat="1" ht="14.25" customHeight="1">
      <c r="A261" s="2948" t="s">
        <v>305</v>
      </c>
      <c r="B261" s="2948" t="s">
        <v>3113</v>
      </c>
      <c r="C261" s="2948">
        <v>6850</v>
      </c>
      <c r="D261" s="2948">
        <v>6810</v>
      </c>
      <c r="E261" s="2948">
        <v>8290</v>
      </c>
      <c r="F261" s="2948">
        <v>1130</v>
      </c>
      <c r="G261" s="2948">
        <v>4180</v>
      </c>
    </row>
    <row r="262" spans="1:7" s="2782" customFormat="1" ht="14.25" customHeight="1">
      <c r="A262" s="2948" t="s">
        <v>305</v>
      </c>
      <c r="B262" s="2948" t="s">
        <v>3114</v>
      </c>
      <c r="C262" s="2948">
        <v>5860</v>
      </c>
      <c r="D262" s="2948">
        <v>5820</v>
      </c>
      <c r="E262" s="2948">
        <v>7640</v>
      </c>
      <c r="F262" s="2948">
        <v>1070</v>
      </c>
      <c r="G262" s="2948">
        <v>3570</v>
      </c>
    </row>
    <row r="263" spans="1:7" s="2782" customFormat="1" ht="14.25" customHeight="1">
      <c r="A263" s="2948" t="s">
        <v>305</v>
      </c>
      <c r="B263" s="2948" t="s">
        <v>3115</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3116</v>
      </c>
      <c r="C265" s="2948"/>
      <c r="D265" s="2948"/>
      <c r="E265" s="2948"/>
      <c r="F265" s="2948">
        <v>1500</v>
      </c>
      <c r="G265" s="2948"/>
    </row>
    <row r="266" spans="1:7" s="2782" customFormat="1" ht="14.25" customHeight="1">
      <c r="A266" s="2948" t="s">
        <v>305</v>
      </c>
      <c r="B266" s="2948" t="s">
        <v>3117</v>
      </c>
      <c r="C266" s="2948"/>
      <c r="D266" s="2948"/>
      <c r="E266" s="2948"/>
      <c r="F266" s="2948">
        <v>1500</v>
      </c>
      <c r="G266" s="2948"/>
    </row>
    <row r="267" spans="1:7" s="2782" customFormat="1" ht="14.25" customHeight="1">
      <c r="A267" s="2948" t="s">
        <v>305</v>
      </c>
      <c r="B267" s="2948" t="s">
        <v>3118</v>
      </c>
      <c r="C267" s="2948"/>
      <c r="D267" s="2948"/>
      <c r="E267" s="2948"/>
      <c r="F267" s="2948">
        <v>1500</v>
      </c>
      <c r="G267" s="2948"/>
    </row>
    <row r="268" spans="1:7" s="2782" customFormat="1" ht="14.25" customHeight="1">
      <c r="A268" s="2948" t="s">
        <v>305</v>
      </c>
      <c r="B268" s="2948" t="s">
        <v>3119</v>
      </c>
      <c r="C268" s="2948"/>
      <c r="D268" s="2948"/>
      <c r="E268" s="2948"/>
      <c r="F268" s="2948">
        <v>1290</v>
      </c>
      <c r="G268" s="2948"/>
    </row>
    <row r="269" spans="1:7" s="2782" customFormat="1" ht="14.25" customHeight="1">
      <c r="A269" s="2948" t="s">
        <v>305</v>
      </c>
      <c r="B269" s="2948" t="s">
        <v>3120</v>
      </c>
      <c r="C269" s="2948"/>
      <c r="D269" s="2948"/>
      <c r="E269" s="2948"/>
      <c r="F269" s="2948">
        <v>1150</v>
      </c>
      <c r="G269" s="2948"/>
    </row>
    <row r="270" spans="1:7" s="2782" customFormat="1" ht="14.25" customHeight="1">
      <c r="A270" s="2948" t="s">
        <v>305</v>
      </c>
      <c r="B270" s="2948" t="s">
        <v>3121</v>
      </c>
      <c r="C270" s="2948"/>
      <c r="D270" s="2948"/>
      <c r="E270" s="2948"/>
      <c r="F270" s="2948">
        <v>1380</v>
      </c>
      <c r="G270" s="2948"/>
    </row>
    <row r="271" spans="1:7" s="2782" customFormat="1" ht="14.25" customHeight="1">
      <c r="A271" s="2948" t="s">
        <v>305</v>
      </c>
      <c r="B271" s="2948" t="s">
        <v>3122</v>
      </c>
      <c r="C271" s="2948"/>
      <c r="D271" s="2948"/>
      <c r="E271" s="2948"/>
      <c r="F271" s="2948">
        <v>1460</v>
      </c>
      <c r="G271" s="2948"/>
    </row>
    <row r="272" spans="1:7" s="2782" customFormat="1" ht="14.25" customHeight="1">
      <c r="A272" s="2948" t="s">
        <v>305</v>
      </c>
      <c r="B272" s="2948" t="s">
        <v>3123</v>
      </c>
      <c r="C272" s="2948"/>
      <c r="D272" s="2948"/>
      <c r="E272" s="2948"/>
      <c r="F272" s="2948">
        <v>1460</v>
      </c>
      <c r="G272" s="2948"/>
    </row>
    <row r="273" spans="1:7" s="2782" customFormat="1" ht="14.25" customHeight="1">
      <c r="A273" s="2948" t="s">
        <v>305</v>
      </c>
      <c r="B273" s="2948" t="s">
        <v>3016</v>
      </c>
      <c r="C273" s="2948"/>
      <c r="D273" s="2948"/>
      <c r="E273" s="2948"/>
      <c r="F273" s="2948">
        <v>1490</v>
      </c>
      <c r="G273" s="2948"/>
    </row>
    <row r="274" spans="1:7" s="2782" customFormat="1" ht="14.25" customHeight="1">
      <c r="A274" s="2948" t="s">
        <v>305</v>
      </c>
      <c r="B274" s="2948" t="s">
        <v>3124</v>
      </c>
      <c r="C274" s="2948"/>
      <c r="D274" s="2948"/>
      <c r="E274" s="2948"/>
      <c r="F274" s="2948">
        <v>1490</v>
      </c>
      <c r="G274" s="2948"/>
    </row>
    <row r="275" spans="1:7" s="2782" customFormat="1" ht="14.25" customHeight="1">
      <c r="A275" s="2948" t="s">
        <v>305</v>
      </c>
      <c r="B275" s="2948" t="s">
        <v>3125</v>
      </c>
      <c r="C275" s="2948"/>
      <c r="D275" s="2948"/>
      <c r="E275" s="2948"/>
      <c r="F275" s="2948">
        <v>1220</v>
      </c>
      <c r="G275" s="2948"/>
    </row>
    <row r="276" spans="1:7" s="2782" customFormat="1" ht="14.25" customHeight="1" thickBot="1">
      <c r="A276" s="2956" t="s">
        <v>305</v>
      </c>
      <c r="B276" s="2958" t="s">
        <v>3126</v>
      </c>
      <c r="C276" s="2959"/>
      <c r="D276" s="2959"/>
      <c r="E276" s="2959"/>
      <c r="F276" s="2959">
        <v>1380</v>
      </c>
      <c r="G276" s="2959"/>
    </row>
    <row r="277" spans="1:7" s="2782" customFormat="1" ht="14.25" customHeight="1">
      <c r="A277" s="2953" t="s">
        <v>306</v>
      </c>
      <c r="B277" s="2944" t="s">
        <v>3127</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3128</v>
      </c>
      <c r="C279" s="2948">
        <v>4760</v>
      </c>
      <c r="D279" s="2948">
        <v>4720</v>
      </c>
      <c r="E279" s="2948">
        <v>5540</v>
      </c>
      <c r="F279" s="2948">
        <v>810</v>
      </c>
      <c r="G279" s="2961">
        <v>2850</v>
      </c>
    </row>
    <row r="280" spans="1:7" s="2782" customFormat="1" ht="14.25" customHeight="1">
      <c r="A280" s="2948" t="s">
        <v>306</v>
      </c>
      <c r="B280" s="2948" t="s">
        <v>3129</v>
      </c>
      <c r="C280" s="2948">
        <v>4010</v>
      </c>
      <c r="D280" s="2948">
        <v>3950</v>
      </c>
      <c r="E280" s="2948">
        <v>4710</v>
      </c>
      <c r="F280" s="2948">
        <v>800</v>
      </c>
      <c r="G280" s="2961">
        <v>2390</v>
      </c>
    </row>
    <row r="281" spans="1:7" s="2782" customFormat="1" ht="14.25" customHeight="1">
      <c r="A281" s="2948" t="s">
        <v>306</v>
      </c>
      <c r="B281" s="2948" t="s">
        <v>3130</v>
      </c>
      <c r="C281" s="2948">
        <v>4480</v>
      </c>
      <c r="D281" s="2948">
        <v>4420</v>
      </c>
      <c r="E281" s="2948">
        <v>5230</v>
      </c>
      <c r="F281" s="2948">
        <v>870</v>
      </c>
      <c r="G281" s="2961">
        <v>2660</v>
      </c>
    </row>
    <row r="282" spans="1:7" s="2782" customFormat="1" ht="14.25" customHeight="1">
      <c r="A282" s="2948" t="s">
        <v>306</v>
      </c>
      <c r="B282" s="2948" t="s">
        <v>3131</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3132</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3133</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2908</v>
      </c>
      <c r="C293" s="2948">
        <v>5320</v>
      </c>
      <c r="D293" s="2948">
        <v>5270</v>
      </c>
      <c r="E293" s="2948">
        <v>6160</v>
      </c>
      <c r="F293" s="2948">
        <v>990</v>
      </c>
      <c r="G293" s="2961">
        <v>3170</v>
      </c>
    </row>
    <row r="294" spans="1:7" s="2782" customFormat="1" ht="14.25" customHeight="1">
      <c r="A294" s="2948" t="s">
        <v>306</v>
      </c>
      <c r="B294" s="2948" t="s">
        <v>3134</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2927</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3135</v>
      </c>
      <c r="C302" s="2948">
        <v>5520</v>
      </c>
      <c r="D302" s="2948">
        <v>5470</v>
      </c>
      <c r="E302" s="2948">
        <v>6410</v>
      </c>
      <c r="F302" s="2948">
        <v>950</v>
      </c>
      <c r="G302" s="2961">
        <v>3300</v>
      </c>
    </row>
    <row r="303" spans="1:7" s="2782" customFormat="1" ht="14.25" customHeight="1">
      <c r="A303" s="2948" t="s">
        <v>306</v>
      </c>
      <c r="B303" s="2948" t="s">
        <v>2947</v>
      </c>
      <c r="C303" s="2948">
        <v>5630</v>
      </c>
      <c r="D303" s="2948">
        <v>5590</v>
      </c>
      <c r="E303" s="2948">
        <v>6550</v>
      </c>
      <c r="F303" s="2948">
        <v>1010</v>
      </c>
      <c r="G303" s="2961">
        <v>3370</v>
      </c>
    </row>
    <row r="304" spans="1:7" s="2782" customFormat="1" ht="14.25" customHeight="1">
      <c r="A304" s="2948" t="s">
        <v>306</v>
      </c>
      <c r="B304" s="2948" t="s">
        <v>2954</v>
      </c>
      <c r="C304" s="2948">
        <v>5680</v>
      </c>
      <c r="D304" s="2948">
        <v>5620</v>
      </c>
      <c r="E304" s="2948">
        <v>6620</v>
      </c>
      <c r="F304" s="2948">
        <v>1050</v>
      </c>
      <c r="G304" s="2961">
        <v>3390</v>
      </c>
    </row>
    <row r="305" spans="1:7" s="2782" customFormat="1" ht="14.25" customHeight="1">
      <c r="A305" s="2948" t="s">
        <v>306</v>
      </c>
      <c r="B305" s="2948" t="s">
        <v>2960</v>
      </c>
      <c r="C305" s="2948">
        <v>5590</v>
      </c>
      <c r="D305" s="2948">
        <v>5530</v>
      </c>
      <c r="E305" s="2948">
        <v>6460</v>
      </c>
      <c r="F305" s="2948">
        <v>900</v>
      </c>
      <c r="G305" s="2961">
        <v>3340</v>
      </c>
    </row>
    <row r="306" spans="1:7" s="2782" customFormat="1" ht="14.25" customHeight="1">
      <c r="A306" s="2948" t="s">
        <v>306</v>
      </c>
      <c r="B306" s="2948" t="s">
        <v>3136</v>
      </c>
      <c r="C306" s="2948">
        <v>5560</v>
      </c>
      <c r="D306" s="2948">
        <v>5510</v>
      </c>
      <c r="E306" s="2948">
        <v>6440</v>
      </c>
      <c r="F306" s="2948">
        <v>900</v>
      </c>
      <c r="G306" s="2961">
        <v>3320</v>
      </c>
    </row>
    <row r="307" spans="1:7" s="2782" customFormat="1" ht="14.25" customHeight="1">
      <c r="A307" s="2948" t="s">
        <v>306</v>
      </c>
      <c r="B307" s="2948" t="s">
        <v>2972</v>
      </c>
      <c r="C307" s="2948">
        <v>5650</v>
      </c>
      <c r="D307" s="2948">
        <v>5600</v>
      </c>
      <c r="E307" s="2948">
        <v>6590</v>
      </c>
      <c r="F307" s="2948">
        <v>930</v>
      </c>
      <c r="G307" s="2961">
        <v>3380</v>
      </c>
    </row>
    <row r="308" spans="1:7" s="2782" customFormat="1" ht="14.25" customHeight="1">
      <c r="A308" s="2948" t="s">
        <v>306</v>
      </c>
      <c r="B308" s="2948" t="s">
        <v>3137</v>
      </c>
      <c r="C308" s="2948">
        <v>5620</v>
      </c>
      <c r="D308" s="2948">
        <v>5580</v>
      </c>
      <c r="E308" s="2948">
        <v>6540</v>
      </c>
      <c r="F308" s="2948">
        <v>910</v>
      </c>
      <c r="G308" s="2961">
        <v>3370</v>
      </c>
    </row>
    <row r="309" spans="1:7" s="2782" customFormat="1" ht="14.25" customHeight="1">
      <c r="A309" s="2948" t="s">
        <v>306</v>
      </c>
      <c r="B309" s="2948" t="s">
        <v>3138</v>
      </c>
      <c r="C309" s="2948">
        <v>5060</v>
      </c>
      <c r="D309" s="2948">
        <v>5020</v>
      </c>
      <c r="E309" s="2948">
        <v>6370</v>
      </c>
      <c r="F309" s="2948">
        <v>800</v>
      </c>
      <c r="G309" s="2961">
        <v>3020</v>
      </c>
    </row>
    <row r="310" spans="1:7" s="2782" customFormat="1" ht="14.25" customHeight="1">
      <c r="A310" s="2948" t="s">
        <v>306</v>
      </c>
      <c r="B310" s="2948" t="s">
        <v>2987</v>
      </c>
      <c r="C310" s="2948">
        <v>5150</v>
      </c>
      <c r="D310" s="2948">
        <v>5110</v>
      </c>
      <c r="E310" s="2948">
        <v>6500</v>
      </c>
      <c r="F310" s="2948">
        <v>880</v>
      </c>
      <c r="G310" s="2961">
        <v>3080</v>
      </c>
    </row>
    <row r="311" spans="1:7" s="2782" customFormat="1" ht="14.25" customHeight="1">
      <c r="A311" s="2948" t="s">
        <v>306</v>
      </c>
      <c r="B311" s="2948" t="s">
        <v>3139</v>
      </c>
      <c r="C311" s="2948">
        <v>4750</v>
      </c>
      <c r="D311" s="2948">
        <v>4710</v>
      </c>
      <c r="E311" s="2948">
        <v>5510</v>
      </c>
      <c r="F311" s="2948">
        <v>880</v>
      </c>
      <c r="G311" s="2961">
        <v>2840</v>
      </c>
    </row>
    <row r="312" spans="1:7" s="2782" customFormat="1" ht="14.25" customHeight="1">
      <c r="A312" s="2948" t="s">
        <v>306</v>
      </c>
      <c r="B312" s="2948" t="s">
        <v>2997</v>
      </c>
      <c r="C312" s="2948">
        <v>4690</v>
      </c>
      <c r="D312" s="2948">
        <v>4640</v>
      </c>
      <c r="E312" s="2948">
        <v>5420</v>
      </c>
      <c r="F312" s="2948">
        <v>800</v>
      </c>
      <c r="G312" s="2961">
        <v>2800</v>
      </c>
    </row>
    <row r="313" spans="1:7" s="2782" customFormat="1" ht="14.25" customHeight="1">
      <c r="A313" s="2948" t="s">
        <v>306</v>
      </c>
      <c r="B313" s="2948" t="s">
        <v>3002</v>
      </c>
      <c r="C313" s="2948">
        <v>4810</v>
      </c>
      <c r="D313" s="2948">
        <v>4760</v>
      </c>
      <c r="E313" s="2948">
        <v>5550</v>
      </c>
      <c r="F313" s="2948">
        <v>920</v>
      </c>
      <c r="G313" s="2961">
        <v>2870</v>
      </c>
    </row>
    <row r="314" spans="1:7" s="2782" customFormat="1" ht="14.25" customHeight="1">
      <c r="A314" s="2948" t="s">
        <v>306</v>
      </c>
      <c r="B314" s="2948" t="s">
        <v>3140</v>
      </c>
      <c r="C314" s="2948"/>
      <c r="D314" s="2948"/>
      <c r="E314" s="2948"/>
      <c r="F314" s="2948">
        <v>1020</v>
      </c>
      <c r="G314" s="2961"/>
    </row>
    <row r="315" spans="1:7" s="2782" customFormat="1" ht="14.25" customHeight="1">
      <c r="A315" s="2948" t="s">
        <v>306</v>
      </c>
      <c r="B315" s="2948" t="s">
        <v>3141</v>
      </c>
      <c r="C315" s="2948"/>
      <c r="D315" s="2948"/>
      <c r="E315" s="2948"/>
      <c r="F315" s="2948">
        <v>1050</v>
      </c>
      <c r="G315" s="2961"/>
    </row>
    <row r="316" spans="1:7" s="2782" customFormat="1" ht="14.25" customHeight="1">
      <c r="A316" s="2948" t="s">
        <v>306</v>
      </c>
      <c r="B316" s="2948" t="s">
        <v>3017</v>
      </c>
      <c r="C316" s="2948"/>
      <c r="D316" s="2948"/>
      <c r="E316" s="2948"/>
      <c r="F316" s="2948">
        <v>900</v>
      </c>
      <c r="G316" s="2961"/>
    </row>
    <row r="317" spans="1:7" s="2782" customFormat="1" ht="14.25" customHeight="1">
      <c r="A317" s="2948" t="s">
        <v>306</v>
      </c>
      <c r="B317" s="2948" t="s">
        <v>3142</v>
      </c>
      <c r="C317" s="2948"/>
      <c r="D317" s="2948"/>
      <c r="E317" s="2948"/>
      <c r="F317" s="2948">
        <v>920</v>
      </c>
      <c r="G317" s="2961"/>
    </row>
    <row r="318" spans="1:7" s="2782" customFormat="1" ht="14.25" customHeight="1">
      <c r="A318" s="2948" t="s">
        <v>306</v>
      </c>
      <c r="B318" s="2948" t="s">
        <v>3143</v>
      </c>
      <c r="C318" s="2948"/>
      <c r="D318" s="2948"/>
      <c r="E318" s="2948"/>
      <c r="F318" s="2948">
        <v>1080</v>
      </c>
      <c r="G318" s="2961"/>
    </row>
    <row r="319" spans="1:7" s="2782" customFormat="1" ht="14.25" customHeight="1">
      <c r="A319" s="2948" t="s">
        <v>306</v>
      </c>
      <c r="B319" s="2948" t="s">
        <v>3030</v>
      </c>
      <c r="C319" s="2948"/>
      <c r="D319" s="2948"/>
      <c r="E319" s="2948"/>
      <c r="F319" s="2948">
        <v>1020</v>
      </c>
      <c r="G319" s="2961"/>
    </row>
    <row r="320" spans="1:7" s="2782" customFormat="1" ht="14.25" customHeight="1">
      <c r="A320" s="2948" t="s">
        <v>306</v>
      </c>
      <c r="B320" s="2948" t="s">
        <v>3033</v>
      </c>
      <c r="C320" s="2948"/>
      <c r="D320" s="2948"/>
      <c r="E320" s="2948"/>
      <c r="F320" s="2948">
        <v>1050</v>
      </c>
      <c r="G320" s="2961"/>
    </row>
    <row r="321" spans="1:7" s="2782" customFormat="1" ht="14.25" customHeight="1">
      <c r="A321" s="2948" t="s">
        <v>306</v>
      </c>
      <c r="B321" s="2948" t="s">
        <v>3035</v>
      </c>
      <c r="C321" s="2948"/>
      <c r="D321" s="2948"/>
      <c r="E321" s="2948"/>
      <c r="F321" s="2948">
        <v>960</v>
      </c>
      <c r="G321" s="2961"/>
    </row>
    <row r="322" spans="1:7" s="2782" customFormat="1" ht="14.25" customHeight="1">
      <c r="A322" s="2948" t="s">
        <v>306</v>
      </c>
      <c r="B322" s="2948" t="s">
        <v>3037</v>
      </c>
      <c r="C322" s="2948"/>
      <c r="D322" s="2948"/>
      <c r="E322" s="2948"/>
      <c r="F322" s="2948">
        <v>960</v>
      </c>
      <c r="G322" s="2961"/>
    </row>
    <row r="323" spans="1:7" s="2782" customFormat="1" ht="14.25" customHeight="1">
      <c r="A323" s="2948" t="s">
        <v>306</v>
      </c>
      <c r="B323" s="2948" t="s">
        <v>3039</v>
      </c>
      <c r="C323" s="2948"/>
      <c r="D323" s="2948"/>
      <c r="E323" s="2948"/>
      <c r="F323" s="2948">
        <v>880</v>
      </c>
      <c r="G323" s="2961"/>
    </row>
    <row r="324" spans="1:7" s="2782" customFormat="1" ht="14.25" customHeight="1">
      <c r="A324" s="2948" t="s">
        <v>306</v>
      </c>
      <c r="B324" s="2948" t="s">
        <v>3041</v>
      </c>
      <c r="C324" s="2948"/>
      <c r="D324" s="2948"/>
      <c r="E324" s="2948"/>
      <c r="F324" s="2948">
        <v>930</v>
      </c>
      <c r="G324" s="2961"/>
    </row>
    <row r="325" spans="1:7" s="2782" customFormat="1" ht="14.25" customHeight="1">
      <c r="A325" s="2948" t="s">
        <v>306</v>
      </c>
      <c r="B325" s="2949" t="s">
        <v>3043</v>
      </c>
      <c r="C325" s="2948"/>
      <c r="D325" s="2948"/>
      <c r="E325" s="2948"/>
      <c r="F325" s="2948">
        <v>900</v>
      </c>
      <c r="G325" s="2961"/>
    </row>
    <row r="326" spans="1:7" s="2782" customFormat="1" ht="14.25" customHeight="1" thickBot="1">
      <c r="A326" s="2962" t="s">
        <v>306</v>
      </c>
      <c r="B326" s="2955" t="s">
        <v>3045</v>
      </c>
      <c r="C326" s="2955"/>
      <c r="D326" s="2955"/>
      <c r="E326" s="2955"/>
      <c r="F326" s="2955">
        <v>790</v>
      </c>
      <c r="G326" s="2963"/>
    </row>
    <row r="327" spans="1:7" s="2782" customFormat="1" ht="14.25" customHeight="1">
      <c r="A327" s="2953" t="s">
        <v>307</v>
      </c>
      <c r="B327" s="2944" t="s">
        <v>3144</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3145</v>
      </c>
      <c r="C329" s="2948">
        <v>2730</v>
      </c>
      <c r="D329" s="2948">
        <v>2690</v>
      </c>
      <c r="E329" s="2948">
        <v>3100</v>
      </c>
      <c r="F329" s="2948">
        <v>660</v>
      </c>
      <c r="G329" s="2948">
        <v>1610</v>
      </c>
    </row>
    <row r="330" spans="1:7" s="2782" customFormat="1" ht="14.25" customHeight="1">
      <c r="A330" s="2948" t="s">
        <v>307</v>
      </c>
      <c r="B330" s="2948" t="s">
        <v>3146</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2879</v>
      </c>
      <c r="C332" s="2948">
        <v>3520</v>
      </c>
      <c r="D332" s="2948">
        <v>3480</v>
      </c>
      <c r="E332" s="2948">
        <v>3830</v>
      </c>
      <c r="F332" s="2948">
        <v>720</v>
      </c>
      <c r="G332" s="2948">
        <v>2090</v>
      </c>
    </row>
    <row r="333" spans="1:7" s="2782" customFormat="1" ht="14.25" customHeight="1">
      <c r="A333" s="2948" t="s">
        <v>307</v>
      </c>
      <c r="B333" s="2948" t="s">
        <v>3147</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2889</v>
      </c>
      <c r="C336" s="2948">
        <v>3570</v>
      </c>
      <c r="D336" s="2948">
        <v>3530</v>
      </c>
      <c r="E336" s="2948">
        <v>3880</v>
      </c>
      <c r="F336" s="2948">
        <v>770</v>
      </c>
      <c r="G336" s="2948">
        <v>2110</v>
      </c>
    </row>
    <row r="337" spans="1:10" s="2782" customFormat="1" ht="14.25" customHeight="1">
      <c r="A337" s="2948" t="s">
        <v>307</v>
      </c>
      <c r="B337" s="2948" t="s">
        <v>3148</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3149</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3150</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2914</v>
      </c>
      <c r="C345" s="2948">
        <v>3190</v>
      </c>
      <c r="D345" s="2948">
        <v>3140</v>
      </c>
      <c r="E345" s="2948">
        <v>3450</v>
      </c>
      <c r="F345" s="2948">
        <v>720</v>
      </c>
      <c r="G345" s="2948">
        <v>1880</v>
      </c>
      <c r="J345" s="2782"/>
    </row>
    <row r="346" spans="1:10">
      <c r="A346" s="2948" t="s">
        <v>307</v>
      </c>
      <c r="B346" s="2948" t="s">
        <v>3151</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2923</v>
      </c>
      <c r="C348" s="2948">
        <v>4000</v>
      </c>
      <c r="D348" s="2948">
        <v>3950</v>
      </c>
      <c r="E348" s="2948">
        <v>4430</v>
      </c>
      <c r="F348" s="2948">
        <v>760</v>
      </c>
      <c r="G348" s="2948">
        <v>2360</v>
      </c>
      <c r="J348" s="2782"/>
    </row>
    <row r="349" spans="1:10">
      <c r="A349" s="2948" t="s">
        <v>307</v>
      </c>
      <c r="B349" s="2948" t="s">
        <v>2928</v>
      </c>
      <c r="C349" s="2948">
        <v>3820</v>
      </c>
      <c r="D349" s="2948">
        <v>3780</v>
      </c>
      <c r="E349" s="2948">
        <v>4170</v>
      </c>
      <c r="F349" s="2948">
        <v>710</v>
      </c>
      <c r="G349" s="2948">
        <v>2260</v>
      </c>
      <c r="J349" s="2782"/>
    </row>
    <row r="350" spans="1:10">
      <c r="A350" s="2948" t="s">
        <v>307</v>
      </c>
      <c r="B350" s="2948" t="s">
        <v>3152</v>
      </c>
      <c r="C350" s="2948">
        <v>3760</v>
      </c>
      <c r="D350" s="2948">
        <v>3730</v>
      </c>
      <c r="E350" s="2948">
        <v>4100</v>
      </c>
      <c r="F350" s="2948">
        <v>800</v>
      </c>
      <c r="G350" s="2948">
        <v>2230</v>
      </c>
      <c r="J350" s="2782"/>
    </row>
    <row r="351" spans="1:10">
      <c r="A351" s="2948" t="s">
        <v>307</v>
      </c>
      <c r="B351" s="2948" t="s">
        <v>2936</v>
      </c>
      <c r="C351" s="2948">
        <v>3610</v>
      </c>
      <c r="D351" s="2948">
        <v>3580</v>
      </c>
      <c r="E351" s="2948">
        <v>3930</v>
      </c>
      <c r="F351" s="2948">
        <v>700</v>
      </c>
      <c r="G351" s="2948">
        <v>2140</v>
      </c>
      <c r="J351" s="2782"/>
    </row>
    <row r="352" spans="1:10">
      <c r="A352" s="2948" t="s">
        <v>307</v>
      </c>
      <c r="B352" s="2948" t="s">
        <v>2941</v>
      </c>
      <c r="C352" s="2948">
        <v>3670</v>
      </c>
      <c r="D352" s="2948">
        <v>3630</v>
      </c>
      <c r="E352" s="2948">
        <v>4000</v>
      </c>
      <c r="F352" s="2948">
        <v>750</v>
      </c>
      <c r="G352" s="2948">
        <v>2180</v>
      </c>
    </row>
    <row r="353" spans="1:7" s="2783" customFormat="1">
      <c r="A353" s="2948" t="s">
        <v>307</v>
      </c>
      <c r="B353" s="2948" t="s">
        <v>3153</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2961</v>
      </c>
      <c r="C355" s="2948">
        <v>3650</v>
      </c>
      <c r="D355" s="2948">
        <v>3610</v>
      </c>
      <c r="E355" s="2948">
        <v>4200</v>
      </c>
      <c r="F355" s="2948">
        <v>640</v>
      </c>
      <c r="G355" s="2948">
        <v>2160</v>
      </c>
    </row>
    <row r="356" spans="1:7" s="2783" customFormat="1">
      <c r="A356" s="2948" t="s">
        <v>307</v>
      </c>
      <c r="B356" s="2948" t="s">
        <v>2968</v>
      </c>
      <c r="C356" s="2948">
        <v>3260</v>
      </c>
      <c r="D356" s="2948">
        <v>3230</v>
      </c>
      <c r="E356" s="2948">
        <v>3740</v>
      </c>
      <c r="F356" s="2948">
        <v>600</v>
      </c>
      <c r="G356" s="2948">
        <v>1930</v>
      </c>
    </row>
    <row r="357" spans="1:7" s="2783" customFormat="1" ht="12" thickBot="1">
      <c r="A357" s="2956" t="s">
        <v>307</v>
      </c>
      <c r="B357" s="2959" t="s">
        <v>3154</v>
      </c>
      <c r="C357" s="2959">
        <v>3690</v>
      </c>
      <c r="D357" s="2959">
        <v>3650</v>
      </c>
      <c r="E357" s="2959">
        <v>4020</v>
      </c>
      <c r="F357" s="2959">
        <v>700</v>
      </c>
      <c r="G357" s="2959">
        <v>2190</v>
      </c>
    </row>
    <row r="358" spans="1:7" s="2783" customFormat="1">
      <c r="A358" s="2953" t="s">
        <v>3155</v>
      </c>
      <c r="B358" s="2944" t="s">
        <v>3156</v>
      </c>
      <c r="C358" s="2944">
        <v>2080</v>
      </c>
      <c r="D358" s="2944">
        <v>2040</v>
      </c>
      <c r="E358" s="2944">
        <v>2010</v>
      </c>
      <c r="F358" s="2944">
        <v>530</v>
      </c>
      <c r="G358" s="2960">
        <v>1230</v>
      </c>
    </row>
    <row r="359" spans="1:7" s="2783" customFormat="1">
      <c r="A359" s="2948" t="s">
        <v>3155</v>
      </c>
      <c r="B359" s="2948" t="s">
        <v>3157</v>
      </c>
      <c r="C359" s="2948">
        <v>1850</v>
      </c>
      <c r="D359" s="2948">
        <v>1820</v>
      </c>
      <c r="E359" s="2948">
        <v>1780</v>
      </c>
      <c r="F359" s="2948">
        <v>520</v>
      </c>
      <c r="G359" s="2961">
        <v>1100</v>
      </c>
    </row>
    <row r="360" spans="1:7" s="2783" customFormat="1">
      <c r="A360" s="2948" t="s">
        <v>3155</v>
      </c>
      <c r="B360" s="2948" t="s">
        <v>3158</v>
      </c>
      <c r="C360" s="2948">
        <v>2020</v>
      </c>
      <c r="D360" s="2948">
        <v>1990</v>
      </c>
      <c r="E360" s="2948">
        <v>1950</v>
      </c>
      <c r="F360" s="2948">
        <v>500</v>
      </c>
      <c r="G360" s="2961">
        <v>1200</v>
      </c>
    </row>
    <row r="361" spans="1:7" s="2783" customFormat="1">
      <c r="A361" s="2948" t="s">
        <v>3155</v>
      </c>
      <c r="B361" s="2948" t="s">
        <v>153</v>
      </c>
      <c r="C361" s="2948">
        <v>2260</v>
      </c>
      <c r="D361" s="2948">
        <v>2220</v>
      </c>
      <c r="E361" s="2948">
        <v>2180</v>
      </c>
      <c r="F361" s="2948">
        <v>580</v>
      </c>
      <c r="G361" s="2961">
        <v>1340</v>
      </c>
    </row>
    <row r="362" spans="1:7" s="2783" customFormat="1">
      <c r="A362" s="2948" t="s">
        <v>3155</v>
      </c>
      <c r="B362" s="2948" t="s">
        <v>3159</v>
      </c>
      <c r="C362" s="2948">
        <v>2650</v>
      </c>
      <c r="D362" s="2948">
        <v>2610</v>
      </c>
      <c r="E362" s="2948">
        <v>2570</v>
      </c>
      <c r="F362" s="2948">
        <v>630</v>
      </c>
      <c r="G362" s="2961">
        <v>1570</v>
      </c>
    </row>
    <row r="363" spans="1:7" s="2783" customFormat="1">
      <c r="A363" s="2948" t="s">
        <v>3155</v>
      </c>
      <c r="B363" s="2948" t="s">
        <v>2880</v>
      </c>
      <c r="C363" s="2948">
        <v>2390</v>
      </c>
      <c r="D363" s="2948">
        <v>2360</v>
      </c>
      <c r="E363" s="2948">
        <v>2320</v>
      </c>
      <c r="F363" s="2948">
        <v>600</v>
      </c>
      <c r="G363" s="2961">
        <v>1420</v>
      </c>
    </row>
    <row r="364" spans="1:7" s="2783" customFormat="1">
      <c r="A364" s="2948" t="s">
        <v>3155</v>
      </c>
      <c r="B364" s="2948" t="s">
        <v>3160</v>
      </c>
      <c r="C364" s="2948">
        <v>2050</v>
      </c>
      <c r="D364" s="2948">
        <v>2030</v>
      </c>
      <c r="E364" s="2948">
        <v>1990</v>
      </c>
      <c r="F364" s="2948">
        <v>550</v>
      </c>
      <c r="G364" s="2961">
        <v>1220</v>
      </c>
    </row>
    <row r="365" spans="1:7" s="2783" customFormat="1">
      <c r="A365" s="2948" t="s">
        <v>3155</v>
      </c>
      <c r="B365" s="2948" t="s">
        <v>200</v>
      </c>
      <c r="C365" s="2948">
        <v>2140</v>
      </c>
      <c r="D365" s="2948">
        <v>2100</v>
      </c>
      <c r="E365" s="2948">
        <v>2060</v>
      </c>
      <c r="F365" s="2948">
        <v>540</v>
      </c>
      <c r="G365" s="2961">
        <v>1270</v>
      </c>
    </row>
    <row r="366" spans="1:7" s="2783" customFormat="1">
      <c r="A366" s="2948" t="s">
        <v>3155</v>
      </c>
      <c r="B366" s="2948" t="s">
        <v>2887</v>
      </c>
      <c r="C366" s="2948">
        <v>2410</v>
      </c>
      <c r="D366" s="2948">
        <v>2370</v>
      </c>
      <c r="E366" s="2948">
        <v>2330</v>
      </c>
      <c r="F366" s="2948">
        <v>570</v>
      </c>
      <c r="G366" s="2961">
        <v>1440</v>
      </c>
    </row>
    <row r="367" spans="1:7" s="2783" customFormat="1">
      <c r="A367" s="2948" t="s">
        <v>3155</v>
      </c>
      <c r="B367" s="2948" t="s">
        <v>3161</v>
      </c>
      <c r="C367" s="2948">
        <v>2300</v>
      </c>
      <c r="D367" s="2948">
        <v>2260</v>
      </c>
      <c r="E367" s="2948">
        <v>2220</v>
      </c>
      <c r="F367" s="2948">
        <v>560</v>
      </c>
      <c r="G367" s="2961">
        <v>1370</v>
      </c>
    </row>
    <row r="368" spans="1:7" s="2783" customFormat="1">
      <c r="A368" s="2948" t="s">
        <v>3155</v>
      </c>
      <c r="B368" s="2948" t="s">
        <v>3162</v>
      </c>
      <c r="C368" s="2948">
        <v>2430</v>
      </c>
      <c r="D368" s="2948">
        <v>2390</v>
      </c>
      <c r="E368" s="2948">
        <v>2350</v>
      </c>
      <c r="F368" s="2948">
        <v>570</v>
      </c>
      <c r="G368" s="2961">
        <v>1450</v>
      </c>
    </row>
    <row r="369" spans="1:7" s="2783" customFormat="1">
      <c r="A369" s="2948" t="s">
        <v>3155</v>
      </c>
      <c r="B369" s="2948" t="s">
        <v>214</v>
      </c>
      <c r="C369" s="2948">
        <v>2320</v>
      </c>
      <c r="D369" s="2948">
        <v>2290</v>
      </c>
      <c r="E369" s="2948">
        <v>2250</v>
      </c>
      <c r="F369" s="2948">
        <v>550</v>
      </c>
      <c r="G369" s="2961">
        <v>1380</v>
      </c>
    </row>
    <row r="370" spans="1:7" s="2783" customFormat="1">
      <c r="A370" s="2948" t="s">
        <v>3155</v>
      </c>
      <c r="B370" s="2948" t="s">
        <v>221</v>
      </c>
      <c r="C370" s="2948">
        <v>2190</v>
      </c>
      <c r="D370" s="2948">
        <v>2170</v>
      </c>
      <c r="E370" s="2948">
        <v>2130</v>
      </c>
      <c r="F370" s="2948">
        <v>530</v>
      </c>
      <c r="G370" s="2961">
        <v>1310</v>
      </c>
    </row>
    <row r="371" spans="1:7" s="2783" customFormat="1">
      <c r="A371" s="2948" t="s">
        <v>3155</v>
      </c>
      <c r="B371" s="2948" t="s">
        <v>229</v>
      </c>
      <c r="C371" s="2948">
        <v>2460</v>
      </c>
      <c r="D371" s="2948">
        <v>2420</v>
      </c>
      <c r="E371" s="2948">
        <v>2370</v>
      </c>
      <c r="F371" s="2948">
        <v>560</v>
      </c>
      <c r="G371" s="2961">
        <v>1470</v>
      </c>
    </row>
    <row r="372" spans="1:7" s="2783" customFormat="1">
      <c r="A372" s="2948" t="s">
        <v>3155</v>
      </c>
      <c r="B372" s="2948" t="s">
        <v>3163</v>
      </c>
      <c r="C372" s="2948">
        <v>2250</v>
      </c>
      <c r="D372" s="2948">
        <v>2210</v>
      </c>
      <c r="E372" s="2948">
        <v>2180</v>
      </c>
      <c r="F372" s="2948">
        <v>550</v>
      </c>
      <c r="G372" s="2961">
        <v>1340</v>
      </c>
    </row>
    <row r="373" spans="1:7" s="2783" customFormat="1">
      <c r="A373" s="2948" t="s">
        <v>3155</v>
      </c>
      <c r="B373" s="2948" t="s">
        <v>258</v>
      </c>
      <c r="C373" s="2948">
        <v>2210</v>
      </c>
      <c r="D373" s="2948">
        <v>2190</v>
      </c>
      <c r="E373" s="2948">
        <v>2150</v>
      </c>
      <c r="F373" s="2948">
        <v>530</v>
      </c>
      <c r="G373" s="2961">
        <v>1320</v>
      </c>
    </row>
    <row r="374" spans="1:7" s="2783" customFormat="1">
      <c r="A374" s="2948" t="s">
        <v>3155</v>
      </c>
      <c r="B374" s="2948" t="s">
        <v>266</v>
      </c>
      <c r="C374" s="2948">
        <v>2320</v>
      </c>
      <c r="D374" s="2948">
        <v>2280</v>
      </c>
      <c r="E374" s="2948">
        <v>2230</v>
      </c>
      <c r="F374" s="2948">
        <v>580</v>
      </c>
      <c r="G374" s="2961">
        <v>1380</v>
      </c>
    </row>
    <row r="375" spans="1:7" s="2783" customFormat="1">
      <c r="A375" s="2948" t="s">
        <v>3155</v>
      </c>
      <c r="B375" s="2948" t="s">
        <v>3164</v>
      </c>
      <c r="C375" s="2948">
        <v>2090</v>
      </c>
      <c r="D375" s="2948">
        <v>2050</v>
      </c>
      <c r="E375" s="2948">
        <v>2020</v>
      </c>
      <c r="F375" s="2948">
        <v>520</v>
      </c>
      <c r="G375" s="2961">
        <v>1240</v>
      </c>
    </row>
    <row r="376" spans="1:7" s="2783" customFormat="1">
      <c r="A376" s="2948" t="s">
        <v>3155</v>
      </c>
      <c r="B376" s="2948" t="s">
        <v>277</v>
      </c>
      <c r="C376" s="2948">
        <v>2010</v>
      </c>
      <c r="D376" s="2948">
        <v>1980</v>
      </c>
      <c r="E376" s="2948">
        <v>1940</v>
      </c>
      <c r="F376" s="2948">
        <v>540</v>
      </c>
      <c r="G376" s="2961">
        <v>1190</v>
      </c>
    </row>
    <row r="377" spans="1:7" s="2783" customFormat="1" ht="12" thickBot="1">
      <c r="A377" s="2956" t="s">
        <v>3155</v>
      </c>
      <c r="B377" s="2959" t="s">
        <v>2917</v>
      </c>
      <c r="C377" s="2959">
        <v>1930</v>
      </c>
      <c r="D377" s="2959">
        <v>1890</v>
      </c>
      <c r="E377" s="2959">
        <v>1860</v>
      </c>
      <c r="F377" s="2959">
        <v>530</v>
      </c>
      <c r="G377" s="2964">
        <v>1150</v>
      </c>
    </row>
    <row r="378" spans="1:7" s="2783" customFormat="1">
      <c r="A378" s="2965" t="s">
        <v>3165</v>
      </c>
      <c r="B378" s="2944" t="s">
        <v>3166</v>
      </c>
      <c r="C378" s="2944">
        <v>1520</v>
      </c>
      <c r="D378" s="2944">
        <v>1490</v>
      </c>
      <c r="E378" s="2944">
        <v>1460</v>
      </c>
      <c r="F378" s="2944">
        <v>460</v>
      </c>
      <c r="G378" s="2960">
        <v>940</v>
      </c>
    </row>
    <row r="379" spans="1:7" s="2783" customFormat="1">
      <c r="A379" s="2966" t="s">
        <v>3165</v>
      </c>
      <c r="B379" s="2948" t="s">
        <v>3167</v>
      </c>
      <c r="C379" s="2948">
        <v>1500</v>
      </c>
      <c r="D379" s="2948">
        <v>1470</v>
      </c>
      <c r="E379" s="2948">
        <v>1430</v>
      </c>
      <c r="F379" s="2948">
        <v>460</v>
      </c>
      <c r="G379" s="2961">
        <v>920</v>
      </c>
    </row>
    <row r="380" spans="1:7" s="2783" customFormat="1">
      <c r="A380" s="2966" t="s">
        <v>3165</v>
      </c>
      <c r="B380" s="2948" t="s">
        <v>3168</v>
      </c>
      <c r="C380" s="2948">
        <v>1620</v>
      </c>
      <c r="D380" s="2948">
        <v>1590</v>
      </c>
      <c r="E380" s="2948">
        <v>1560</v>
      </c>
      <c r="F380" s="2948">
        <v>480</v>
      </c>
      <c r="G380" s="2961">
        <v>1000</v>
      </c>
    </row>
    <row r="381" spans="1:7" s="2783" customFormat="1">
      <c r="A381" s="2966" t="s">
        <v>3165</v>
      </c>
      <c r="B381" s="2948" t="s">
        <v>3169</v>
      </c>
      <c r="C381" s="2948">
        <v>1460</v>
      </c>
      <c r="D381" s="2948">
        <v>1430</v>
      </c>
      <c r="E381" s="2948">
        <v>1390</v>
      </c>
      <c r="F381" s="2948">
        <v>450</v>
      </c>
      <c r="G381" s="2961">
        <v>900</v>
      </c>
    </row>
    <row r="382" spans="1:7" s="2783" customFormat="1">
      <c r="A382" s="2966" t="s">
        <v>3165</v>
      </c>
      <c r="B382" s="2948" t="s">
        <v>3170</v>
      </c>
      <c r="C382" s="2948">
        <v>1310</v>
      </c>
      <c r="D382" s="2948">
        <v>1280</v>
      </c>
      <c r="E382" s="2948">
        <v>1250</v>
      </c>
      <c r="F382" s="2948">
        <v>440</v>
      </c>
      <c r="G382" s="2961">
        <v>800</v>
      </c>
    </row>
    <row r="383" spans="1:7" s="2783" customFormat="1">
      <c r="A383" s="2966" t="s">
        <v>3165</v>
      </c>
      <c r="B383" s="2948" t="s">
        <v>3171</v>
      </c>
      <c r="C383" s="2948">
        <v>1260</v>
      </c>
      <c r="D383" s="2948">
        <v>1230</v>
      </c>
      <c r="E383" s="2948">
        <v>1200</v>
      </c>
      <c r="F383" s="2948">
        <v>420</v>
      </c>
      <c r="G383" s="2961">
        <v>770</v>
      </c>
    </row>
    <row r="384" spans="1:7" s="2783" customFormat="1" ht="12" thickBot="1">
      <c r="A384" s="2967" t="s">
        <v>3165</v>
      </c>
      <c r="B384" s="2955" t="s">
        <v>3172</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66" t="s">
        <v>3173</v>
      </c>
      <c r="B1" s="3466"/>
    </row>
    <row r="2" spans="1:7" ht="14.25" thickBot="1">
      <c r="A2" s="2969"/>
      <c r="B2" s="2969"/>
    </row>
    <row r="3" spans="1:7" ht="14.25" thickBot="1">
      <c r="A3" s="2969"/>
      <c r="B3" s="2969"/>
      <c r="C3" s="2970" t="s">
        <v>2803</v>
      </c>
      <c r="D3" s="2970" t="s">
        <v>2859</v>
      </c>
      <c r="E3" s="2970" t="s">
        <v>2805</v>
      </c>
      <c r="F3" s="2970" t="s">
        <v>2860</v>
      </c>
      <c r="G3" s="2970" t="s">
        <v>2623</v>
      </c>
    </row>
    <row r="4" spans="1:7" ht="14.25" thickBot="1">
      <c r="A4" s="2971" t="s">
        <v>2858</v>
      </c>
      <c r="B4" s="2972" t="s">
        <v>2864</v>
      </c>
      <c r="C4" s="2970"/>
      <c r="D4" s="2970"/>
      <c r="E4" s="2970"/>
      <c r="F4" s="2970"/>
      <c r="G4" s="2970"/>
    </row>
    <row r="5" spans="1:7">
      <c r="A5" s="2973" t="s">
        <v>2832</v>
      </c>
      <c r="B5" s="2974" t="s">
        <v>2846</v>
      </c>
      <c r="C5" s="2975">
        <v>9.8000000000000004E-2</v>
      </c>
      <c r="D5" s="2975">
        <v>8.6999999999999994E-2</v>
      </c>
      <c r="E5" s="2975">
        <v>8.6999999999999994E-2</v>
      </c>
      <c r="F5" s="2975">
        <v>9.8000000000000004E-2</v>
      </c>
      <c r="G5" s="2976">
        <v>9.5000000000000001E-2</v>
      </c>
    </row>
    <row r="6" spans="1:7">
      <c r="A6" s="2977" t="s">
        <v>144</v>
      </c>
      <c r="B6" s="2978" t="s">
        <v>2861</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2847</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2897</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2915</v>
      </c>
      <c r="C29" s="2987"/>
      <c r="D29" s="2983">
        <v>5.1999999999999998E-2</v>
      </c>
      <c r="E29" s="2983">
        <v>7.0000000000000007E-2</v>
      </c>
      <c r="F29" s="2987"/>
      <c r="G29" s="2985">
        <v>7.0999999999999994E-2</v>
      </c>
    </row>
    <row r="30" spans="1:7">
      <c r="A30" s="2988" t="s">
        <v>296</v>
      </c>
      <c r="B30" s="2974" t="s">
        <v>2848</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2834</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2918</v>
      </c>
      <c r="C50" s="2979">
        <v>9.8000000000000004E-2</v>
      </c>
      <c r="D50" s="2979">
        <v>7.2999999999999995E-2</v>
      </c>
      <c r="E50" s="2979">
        <v>7.0999999999999994E-2</v>
      </c>
      <c r="F50" s="2990"/>
      <c r="G50" s="2980">
        <v>7.2999999999999995E-2</v>
      </c>
    </row>
    <row r="51" spans="1:7">
      <c r="A51" s="2989" t="s">
        <v>296</v>
      </c>
      <c r="B51" s="2978" t="s">
        <v>2920</v>
      </c>
      <c r="C51" s="2979">
        <v>9.9000000000000005E-2</v>
      </c>
      <c r="D51" s="2979">
        <v>8.5000000000000006E-2</v>
      </c>
      <c r="E51" s="2979">
        <v>6.3E-2</v>
      </c>
      <c r="F51" s="2990"/>
      <c r="G51" s="2980">
        <v>9.6000000000000002E-2</v>
      </c>
    </row>
    <row r="52" spans="1:7">
      <c r="A52" s="2989" t="s">
        <v>296</v>
      </c>
      <c r="B52" s="2978" t="s">
        <v>2924</v>
      </c>
      <c r="C52" s="2979">
        <v>7.3999999999999996E-2</v>
      </c>
      <c r="D52" s="2979">
        <v>9.6000000000000002E-2</v>
      </c>
      <c r="E52" s="2979">
        <v>0.05</v>
      </c>
      <c r="F52" s="2990"/>
      <c r="G52" s="2980">
        <v>9.8000000000000004E-2</v>
      </c>
    </row>
    <row r="53" spans="1:7">
      <c r="A53" s="2989" t="s">
        <v>296</v>
      </c>
      <c r="B53" s="2978" t="s">
        <v>2929</v>
      </c>
      <c r="C53" s="2979">
        <v>8.5999999999999993E-2</v>
      </c>
      <c r="D53" s="2990"/>
      <c r="E53" s="2979">
        <v>9.1999999999999998E-2</v>
      </c>
      <c r="F53" s="2990"/>
      <c r="G53" s="2991"/>
    </row>
    <row r="54" spans="1:7" ht="14.25" thickBot="1">
      <c r="A54" s="2992" t="s">
        <v>296</v>
      </c>
      <c r="B54" s="2982" t="s">
        <v>2932</v>
      </c>
      <c r="C54" s="2983">
        <v>9.6000000000000002E-2</v>
      </c>
      <c r="D54" s="2984"/>
      <c r="E54" s="2993"/>
      <c r="F54" s="2984"/>
      <c r="G54" s="2994"/>
    </row>
    <row r="55" spans="1:7">
      <c r="A55" s="2988" t="s">
        <v>110</v>
      </c>
      <c r="B55" s="2974" t="s">
        <v>2849</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2930</v>
      </c>
      <c r="C78" s="2979">
        <v>0.1</v>
      </c>
      <c r="D78" s="2979">
        <v>8.5000000000000006E-2</v>
      </c>
      <c r="E78" s="2979">
        <v>9.6000000000000002E-2</v>
      </c>
      <c r="F78" s="2990"/>
      <c r="G78" s="2980">
        <v>9.6000000000000002E-2</v>
      </c>
    </row>
    <row r="79" spans="1:7">
      <c r="A79" s="2989" t="s">
        <v>110</v>
      </c>
      <c r="B79" s="2978" t="s">
        <v>2933</v>
      </c>
      <c r="C79" s="2979">
        <v>0.05</v>
      </c>
      <c r="D79" s="2979">
        <v>9.6000000000000002E-2</v>
      </c>
      <c r="E79" s="2979">
        <v>9.5000000000000001E-2</v>
      </c>
      <c r="F79" s="2990"/>
      <c r="G79" s="2980">
        <v>9.8000000000000004E-2</v>
      </c>
    </row>
    <row r="80" spans="1:7">
      <c r="A80" s="2989" t="s">
        <v>110</v>
      </c>
      <c r="B80" s="2978" t="s">
        <v>2937</v>
      </c>
      <c r="C80" s="2979">
        <v>8.5999999999999993E-2</v>
      </c>
      <c r="D80" s="2995"/>
      <c r="E80" s="2979">
        <v>0.1</v>
      </c>
      <c r="F80" s="2990"/>
      <c r="G80" s="2991"/>
    </row>
    <row r="81" spans="1:7">
      <c r="A81" s="2989" t="s">
        <v>110</v>
      </c>
      <c r="B81" s="2978" t="s">
        <v>2942</v>
      </c>
      <c r="C81" s="2979">
        <v>9.6000000000000002E-2</v>
      </c>
      <c r="D81" s="2990"/>
      <c r="E81" s="2979">
        <v>9.8000000000000004E-2</v>
      </c>
      <c r="F81" s="2990"/>
      <c r="G81" s="2991"/>
    </row>
    <row r="82" spans="1:7">
      <c r="A82" s="2989" t="s">
        <v>110</v>
      </c>
      <c r="B82" s="2978" t="s">
        <v>2949</v>
      </c>
      <c r="C82" s="2995"/>
      <c r="D82" s="2990"/>
      <c r="E82" s="2979">
        <v>7.6999999999999999E-2</v>
      </c>
      <c r="F82" s="2990"/>
      <c r="G82" s="2991"/>
    </row>
    <row r="83" spans="1:7">
      <c r="A83" s="2989" t="s">
        <v>110</v>
      </c>
      <c r="B83" s="2978" t="s">
        <v>2955</v>
      </c>
      <c r="C83" s="2990"/>
      <c r="D83" s="2990"/>
      <c r="E83" s="2990"/>
      <c r="F83" s="2979">
        <v>0.1</v>
      </c>
      <c r="G83" s="2996"/>
    </row>
    <row r="84" spans="1:7">
      <c r="A84" s="2989" t="s">
        <v>110</v>
      </c>
      <c r="B84" s="2978" t="s">
        <v>2962</v>
      </c>
      <c r="C84" s="2990"/>
      <c r="D84" s="2990"/>
      <c r="E84" s="2990"/>
      <c r="F84" s="2979">
        <v>0.1</v>
      </c>
      <c r="G84" s="2996"/>
    </row>
    <row r="85" spans="1:7">
      <c r="A85" s="2989" t="s">
        <v>110</v>
      </c>
      <c r="B85" s="2978" t="s">
        <v>2969</v>
      </c>
      <c r="C85" s="2990"/>
      <c r="D85" s="2990"/>
      <c r="E85" s="2990"/>
      <c r="F85" s="2979">
        <v>0.1</v>
      </c>
      <c r="G85" s="2996"/>
    </row>
    <row r="86" spans="1:7" ht="14.25" thickBot="1">
      <c r="A86" s="2992" t="s">
        <v>110</v>
      </c>
      <c r="B86" s="2982" t="s">
        <v>2974</v>
      </c>
      <c r="C86" s="2983">
        <v>9.8000000000000004E-2</v>
      </c>
      <c r="D86" s="2983">
        <v>9.8000000000000004E-2</v>
      </c>
      <c r="E86" s="2983">
        <v>9.6000000000000002E-2</v>
      </c>
      <c r="F86" s="2993"/>
      <c r="G86" s="2985">
        <v>0.1</v>
      </c>
    </row>
    <row r="87" spans="1:7">
      <c r="A87" s="2988" t="s">
        <v>303</v>
      </c>
      <c r="B87" s="2974" t="s">
        <v>2850</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2943</v>
      </c>
      <c r="C113" s="2979">
        <v>0.1</v>
      </c>
      <c r="D113" s="2979">
        <v>0.1</v>
      </c>
      <c r="E113" s="2990"/>
      <c r="F113" s="2990"/>
      <c r="G113" s="2980">
        <v>0.1</v>
      </c>
    </row>
    <row r="114" spans="1:7">
      <c r="A114" s="2989" t="s">
        <v>303</v>
      </c>
      <c r="B114" s="2978" t="s">
        <v>2950</v>
      </c>
      <c r="C114" s="2979">
        <v>9.7000000000000003E-2</v>
      </c>
      <c r="D114" s="2979">
        <v>9.7000000000000003E-2</v>
      </c>
      <c r="E114" s="2990"/>
      <c r="F114" s="2990"/>
      <c r="G114" s="2980">
        <v>9.9000000000000005E-2</v>
      </c>
    </row>
    <row r="115" spans="1:7">
      <c r="A115" s="2989" t="s">
        <v>303</v>
      </c>
      <c r="B115" s="2978" t="s">
        <v>2956</v>
      </c>
      <c r="C115" s="2979">
        <v>0.1</v>
      </c>
      <c r="D115" s="2979">
        <v>0.1</v>
      </c>
      <c r="E115" s="2990"/>
      <c r="F115" s="2990"/>
      <c r="G115" s="2980">
        <v>0.1</v>
      </c>
    </row>
    <row r="116" spans="1:7">
      <c r="A116" s="2989" t="s">
        <v>303</v>
      </c>
      <c r="B116" s="2978" t="s">
        <v>2963</v>
      </c>
      <c r="C116" s="2979">
        <v>0.1</v>
      </c>
      <c r="D116" s="2979">
        <v>0.1</v>
      </c>
      <c r="E116" s="2990"/>
      <c r="F116" s="2990"/>
      <c r="G116" s="2980">
        <v>0.1</v>
      </c>
    </row>
    <row r="117" spans="1:7">
      <c r="A117" s="2989" t="s">
        <v>303</v>
      </c>
      <c r="B117" s="2978" t="s">
        <v>2970</v>
      </c>
      <c r="C117" s="2979">
        <v>9.7000000000000003E-2</v>
      </c>
      <c r="D117" s="2979">
        <v>9.7000000000000003E-2</v>
      </c>
      <c r="E117" s="2990"/>
      <c r="F117" s="2990"/>
      <c r="G117" s="2980">
        <v>9.7000000000000003E-2</v>
      </c>
    </row>
    <row r="118" spans="1:7">
      <c r="A118" s="2989" t="s">
        <v>303</v>
      </c>
      <c r="B118" s="2978" t="s">
        <v>2975</v>
      </c>
      <c r="C118" s="2979">
        <v>0.1</v>
      </c>
      <c r="D118" s="2979">
        <v>0.1</v>
      </c>
      <c r="E118" s="2990"/>
      <c r="F118" s="2990"/>
      <c r="G118" s="2980">
        <v>0.1</v>
      </c>
    </row>
    <row r="119" spans="1:7">
      <c r="A119" s="2989" t="s">
        <v>303</v>
      </c>
      <c r="B119" s="2978" t="s">
        <v>2979</v>
      </c>
      <c r="C119" s="2979">
        <v>5.0999999999999997E-2</v>
      </c>
      <c r="D119" s="2979">
        <v>5.1999999999999998E-2</v>
      </c>
      <c r="E119" s="2990"/>
      <c r="F119" s="2995"/>
      <c r="G119" s="2980">
        <v>0.06</v>
      </c>
    </row>
    <row r="120" spans="1:7">
      <c r="A120" s="2989" t="s">
        <v>303</v>
      </c>
      <c r="B120" s="2978" t="s">
        <v>2983</v>
      </c>
      <c r="C120" s="2990"/>
      <c r="D120" s="2990"/>
      <c r="E120" s="2990"/>
      <c r="F120" s="2979">
        <v>0.1</v>
      </c>
      <c r="G120" s="2996"/>
    </row>
    <row r="121" spans="1:7">
      <c r="A121" s="2989" t="s">
        <v>303</v>
      </c>
      <c r="B121" s="2978" t="s">
        <v>2988</v>
      </c>
      <c r="C121" s="2990"/>
      <c r="D121" s="2990"/>
      <c r="E121" s="2990"/>
      <c r="F121" s="2979">
        <v>0.1</v>
      </c>
      <c r="G121" s="2996"/>
    </row>
    <row r="122" spans="1:7">
      <c r="A122" s="2989" t="s">
        <v>303</v>
      </c>
      <c r="B122" s="2978" t="s">
        <v>2993</v>
      </c>
      <c r="C122" s="2979">
        <v>0.1</v>
      </c>
      <c r="D122" s="2979">
        <v>0.1</v>
      </c>
      <c r="E122" s="2979">
        <v>9.8000000000000004E-2</v>
      </c>
      <c r="F122" s="2979">
        <v>0.1</v>
      </c>
      <c r="G122" s="2980">
        <v>0.1</v>
      </c>
    </row>
    <row r="123" spans="1:7">
      <c r="A123" s="2989" t="s">
        <v>303</v>
      </c>
      <c r="B123" s="2978" t="s">
        <v>2998</v>
      </c>
      <c r="C123" s="2979">
        <v>0.1</v>
      </c>
      <c r="D123" s="2979">
        <v>0.1</v>
      </c>
      <c r="E123" s="2979">
        <v>9.8000000000000004E-2</v>
      </c>
      <c r="F123" s="2979">
        <v>0.1</v>
      </c>
      <c r="G123" s="2980">
        <v>0.1</v>
      </c>
    </row>
    <row r="124" spans="1:7">
      <c r="A124" s="2989" t="s">
        <v>303</v>
      </c>
      <c r="B124" s="2978" t="s">
        <v>3003</v>
      </c>
      <c r="C124" s="2979">
        <v>0.1</v>
      </c>
      <c r="D124" s="2979">
        <v>0.1</v>
      </c>
      <c r="E124" s="2979">
        <v>9.8000000000000004E-2</v>
      </c>
      <c r="F124" s="2995"/>
      <c r="G124" s="2980">
        <v>0.1</v>
      </c>
    </row>
    <row r="125" spans="1:7">
      <c r="A125" s="2989" t="s">
        <v>303</v>
      </c>
      <c r="B125" s="2978" t="s">
        <v>3008</v>
      </c>
      <c r="C125" s="2979">
        <v>9.8000000000000004E-2</v>
      </c>
      <c r="D125" s="2979">
        <v>9.8000000000000004E-2</v>
      </c>
      <c r="E125" s="2979">
        <v>9.6000000000000002E-2</v>
      </c>
      <c r="F125" s="2995"/>
      <c r="G125" s="2980">
        <v>0.1</v>
      </c>
    </row>
    <row r="126" spans="1:7" ht="14.25" thickBot="1">
      <c r="A126" s="2992" t="s">
        <v>303</v>
      </c>
      <c r="B126" s="2982" t="s">
        <v>3174</v>
      </c>
      <c r="C126" s="2983">
        <v>0.1</v>
      </c>
      <c r="D126" s="2983">
        <v>0.1</v>
      </c>
      <c r="E126" s="2983">
        <v>9.8000000000000004E-2</v>
      </c>
      <c r="F126" s="2983">
        <v>0.1</v>
      </c>
      <c r="G126" s="2985">
        <v>0.1</v>
      </c>
    </row>
    <row r="127" spans="1:7">
      <c r="A127" s="2988" t="s">
        <v>29</v>
      </c>
      <c r="B127" s="2974" t="s">
        <v>2851</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2921</v>
      </c>
      <c r="C148" s="2979">
        <v>0.13</v>
      </c>
      <c r="D148" s="2979">
        <v>0.13</v>
      </c>
      <c r="E148" s="2979">
        <v>0.13</v>
      </c>
      <c r="F148" s="2990"/>
      <c r="G148" s="2980">
        <v>0.13</v>
      </c>
    </row>
    <row r="149" spans="1:7">
      <c r="A149" s="2989" t="s">
        <v>29</v>
      </c>
      <c r="B149" s="2978" t="s">
        <v>2925</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2944</v>
      </c>
      <c r="C153" s="2979">
        <v>0.13</v>
      </c>
      <c r="D153" s="2979">
        <v>0.13</v>
      </c>
      <c r="E153" s="2979">
        <v>0.13</v>
      </c>
      <c r="F153" s="2979">
        <v>0.13</v>
      </c>
      <c r="G153" s="2980">
        <v>0.13</v>
      </c>
    </row>
    <row r="154" spans="1:7">
      <c r="A154" s="2989" t="s">
        <v>29</v>
      </c>
      <c r="B154" s="2978" t="s">
        <v>2951</v>
      </c>
      <c r="C154" s="2979">
        <v>0.121</v>
      </c>
      <c r="D154" s="2979">
        <v>0.121</v>
      </c>
      <c r="E154" s="2979">
        <v>0.105</v>
      </c>
      <c r="F154" s="2979">
        <v>0.121</v>
      </c>
      <c r="G154" s="2980">
        <v>0.123</v>
      </c>
    </row>
    <row r="155" spans="1:7">
      <c r="A155" s="2989" t="s">
        <v>29</v>
      </c>
      <c r="B155" s="2978" t="s">
        <v>2957</v>
      </c>
      <c r="C155" s="2979">
        <v>0.1</v>
      </c>
      <c r="D155" s="2979">
        <v>0.1</v>
      </c>
      <c r="E155" s="2979">
        <v>0.1</v>
      </c>
      <c r="F155" s="2979">
        <v>0.1</v>
      </c>
      <c r="G155" s="2980">
        <v>0.1</v>
      </c>
    </row>
    <row r="156" spans="1:7">
      <c r="A156" s="2989" t="s">
        <v>29</v>
      </c>
      <c r="B156" s="2978" t="s">
        <v>2964</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2984</v>
      </c>
      <c r="C160" s="2979">
        <v>0.13</v>
      </c>
      <c r="D160" s="2979">
        <v>0.13</v>
      </c>
      <c r="E160" s="2979">
        <v>0.124</v>
      </c>
      <c r="F160" s="2979">
        <v>0.126</v>
      </c>
      <c r="G160" s="2980">
        <v>0.13</v>
      </c>
    </row>
    <row r="161" spans="1:7">
      <c r="A161" s="2989" t="s">
        <v>29</v>
      </c>
      <c r="B161" s="2978" t="s">
        <v>2989</v>
      </c>
      <c r="C161" s="2979">
        <v>0.13</v>
      </c>
      <c r="D161" s="2979">
        <v>0.13</v>
      </c>
      <c r="E161" s="2979">
        <v>0.124</v>
      </c>
      <c r="F161" s="2979">
        <v>0.127</v>
      </c>
      <c r="G161" s="2980">
        <v>0.13</v>
      </c>
    </row>
    <row r="162" spans="1:7">
      <c r="A162" s="2989" t="s">
        <v>29</v>
      </c>
      <c r="B162" s="2978" t="s">
        <v>2994</v>
      </c>
      <c r="C162" s="2979">
        <v>0.1</v>
      </c>
      <c r="D162" s="2979">
        <v>0.1</v>
      </c>
      <c r="E162" s="2979">
        <v>0.1</v>
      </c>
      <c r="F162" s="2979">
        <v>0.121</v>
      </c>
      <c r="G162" s="2980">
        <v>0.105</v>
      </c>
    </row>
    <row r="163" spans="1:7">
      <c r="A163" s="2989" t="s">
        <v>29</v>
      </c>
      <c r="B163" s="2978" t="s">
        <v>2999</v>
      </c>
      <c r="C163" s="2979">
        <v>0.1</v>
      </c>
      <c r="D163" s="2979">
        <v>0.1</v>
      </c>
      <c r="E163" s="2979">
        <v>0.1</v>
      </c>
      <c r="F163" s="2979">
        <v>0.1</v>
      </c>
      <c r="G163" s="2980">
        <v>0.1</v>
      </c>
    </row>
    <row r="164" spans="1:7">
      <c r="A164" s="2989" t="s">
        <v>29</v>
      </c>
      <c r="B164" s="2978" t="s">
        <v>3004</v>
      </c>
      <c r="C164" s="2995"/>
      <c r="D164" s="2995"/>
      <c r="E164" s="2995"/>
      <c r="F164" s="2979">
        <v>0.1</v>
      </c>
      <c r="G164" s="2991"/>
    </row>
    <row r="165" spans="1:7">
      <c r="A165" s="2989" t="s">
        <v>29</v>
      </c>
      <c r="B165" s="2978" t="s">
        <v>3175</v>
      </c>
      <c r="C165" s="2979">
        <v>0.126</v>
      </c>
      <c r="D165" s="2979">
        <v>0.126</v>
      </c>
      <c r="E165" s="2979">
        <v>0.11899999999999999</v>
      </c>
      <c r="F165" s="2979">
        <v>0.13</v>
      </c>
      <c r="G165" s="2980">
        <v>0.128</v>
      </c>
    </row>
    <row r="166" spans="1:7">
      <c r="A166" s="2989" t="s">
        <v>29</v>
      </c>
      <c r="B166" s="2978" t="s">
        <v>3014</v>
      </c>
      <c r="C166" s="2979">
        <v>0.129</v>
      </c>
      <c r="D166" s="2979">
        <v>0.129</v>
      </c>
      <c r="E166" s="2979">
        <v>0.123</v>
      </c>
      <c r="F166" s="2979">
        <v>0.128</v>
      </c>
      <c r="G166" s="2980">
        <v>0.13</v>
      </c>
    </row>
    <row r="167" spans="1:7">
      <c r="A167" s="2989" t="s">
        <v>29</v>
      </c>
      <c r="B167" s="2978" t="s">
        <v>3018</v>
      </c>
      <c r="C167" s="2979">
        <v>0.125</v>
      </c>
      <c r="D167" s="2979">
        <v>0.125</v>
      </c>
      <c r="E167" s="2979">
        <v>0.11700000000000001</v>
      </c>
      <c r="F167" s="2979">
        <v>0.13</v>
      </c>
      <c r="G167" s="2980">
        <v>0.126</v>
      </c>
    </row>
    <row r="168" spans="1:7">
      <c r="A168" s="2989" t="s">
        <v>29</v>
      </c>
      <c r="B168" s="2978" t="s">
        <v>3023</v>
      </c>
      <c r="C168" s="2979">
        <v>0.128</v>
      </c>
      <c r="D168" s="2979">
        <v>0.128</v>
      </c>
      <c r="E168" s="2979">
        <v>0.123</v>
      </c>
      <c r="F168" s="2990"/>
      <c r="G168" s="2980">
        <v>0.13</v>
      </c>
    </row>
    <row r="169" spans="1:7">
      <c r="A169" s="2989" t="s">
        <v>29</v>
      </c>
      <c r="B169" s="2978" t="s">
        <v>3176</v>
      </c>
      <c r="C169" s="2995"/>
      <c r="D169" s="2995"/>
      <c r="E169" s="2995"/>
      <c r="F169" s="2979">
        <v>0.05</v>
      </c>
      <c r="G169" s="2991"/>
    </row>
    <row r="170" spans="1:7">
      <c r="A170" s="2989" t="s">
        <v>29</v>
      </c>
      <c r="B170" s="2978" t="s">
        <v>3177</v>
      </c>
      <c r="C170" s="2995"/>
      <c r="D170" s="2995"/>
      <c r="E170" s="2995"/>
      <c r="F170" s="2979">
        <v>0.05</v>
      </c>
      <c r="G170" s="2991"/>
    </row>
    <row r="171" spans="1:7">
      <c r="A171" s="2989" t="s">
        <v>29</v>
      </c>
      <c r="B171" s="2978" t="s">
        <v>3178</v>
      </c>
      <c r="C171" s="2995"/>
      <c r="D171" s="2995"/>
      <c r="E171" s="2995"/>
      <c r="F171" s="2979">
        <v>0.05</v>
      </c>
      <c r="G171" s="2996"/>
    </row>
    <row r="172" spans="1:7">
      <c r="A172" s="2989" t="s">
        <v>29</v>
      </c>
      <c r="B172" s="2978" t="s">
        <v>3179</v>
      </c>
      <c r="C172" s="2995"/>
      <c r="D172" s="2995"/>
      <c r="E172" s="2995"/>
      <c r="F172" s="2979">
        <v>0.05</v>
      </c>
      <c r="G172" s="2996"/>
    </row>
    <row r="173" spans="1:7">
      <c r="A173" s="2989" t="s">
        <v>29</v>
      </c>
      <c r="B173" s="2978" t="s">
        <v>3180</v>
      </c>
      <c r="C173" s="2995"/>
      <c r="D173" s="2995"/>
      <c r="E173" s="2995"/>
      <c r="F173" s="2979">
        <v>0.05</v>
      </c>
      <c r="G173" s="2991"/>
    </row>
    <row r="174" spans="1:7">
      <c r="A174" s="2989" t="s">
        <v>29</v>
      </c>
      <c r="B174" s="2978" t="s">
        <v>3181</v>
      </c>
      <c r="C174" s="2995"/>
      <c r="D174" s="2995"/>
      <c r="E174" s="2995"/>
      <c r="F174" s="2979">
        <v>0.05</v>
      </c>
      <c r="G174" s="2991"/>
    </row>
    <row r="175" spans="1:7">
      <c r="A175" s="2989" t="s">
        <v>29</v>
      </c>
      <c r="B175" s="2978" t="s">
        <v>3182</v>
      </c>
      <c r="C175" s="2995"/>
      <c r="D175" s="2995"/>
      <c r="E175" s="2995"/>
      <c r="F175" s="2979">
        <v>0.05</v>
      </c>
      <c r="G175" s="2991"/>
    </row>
    <row r="176" spans="1:7">
      <c r="A176" s="2989" t="s">
        <v>29</v>
      </c>
      <c r="B176" s="2978" t="s">
        <v>3183</v>
      </c>
      <c r="C176" s="2995"/>
      <c r="D176" s="2995"/>
      <c r="E176" s="2995"/>
      <c r="F176" s="2979">
        <v>0.05</v>
      </c>
      <c r="G176" s="2991"/>
    </row>
    <row r="177" spans="1:7">
      <c r="A177" s="2989" t="s">
        <v>29</v>
      </c>
      <c r="B177" s="2978" t="s">
        <v>3184</v>
      </c>
      <c r="C177" s="2990"/>
      <c r="D177" s="2990"/>
      <c r="E177" s="2990"/>
      <c r="F177" s="2979">
        <v>0.05</v>
      </c>
      <c r="G177" s="2996"/>
    </row>
    <row r="178" spans="1:7">
      <c r="A178" s="2989" t="s">
        <v>29</v>
      </c>
      <c r="B178" s="2978" t="s">
        <v>3185</v>
      </c>
      <c r="C178" s="2990"/>
      <c r="D178" s="2990"/>
      <c r="E178" s="2990"/>
      <c r="F178" s="2979">
        <v>0.05</v>
      </c>
      <c r="G178" s="2996"/>
    </row>
    <row r="179" spans="1:7">
      <c r="A179" s="2989" t="s">
        <v>29</v>
      </c>
      <c r="B179" s="2978" t="s">
        <v>3186</v>
      </c>
      <c r="C179" s="2990"/>
      <c r="D179" s="2990"/>
      <c r="E179" s="2990"/>
      <c r="F179" s="2979">
        <v>0.05</v>
      </c>
      <c r="G179" s="2996"/>
    </row>
    <row r="180" spans="1:7">
      <c r="A180" s="2989" t="s">
        <v>29</v>
      </c>
      <c r="B180" s="2978" t="s">
        <v>3187</v>
      </c>
      <c r="C180" s="2990"/>
      <c r="D180" s="2990"/>
      <c r="E180" s="2990"/>
      <c r="F180" s="2979">
        <v>0.05</v>
      </c>
      <c r="G180" s="2996"/>
    </row>
    <row r="181" spans="1:7">
      <c r="A181" s="2989" t="s">
        <v>29</v>
      </c>
      <c r="B181" s="2978" t="s">
        <v>3188</v>
      </c>
      <c r="C181" s="2990"/>
      <c r="D181" s="2990"/>
      <c r="E181" s="2990"/>
      <c r="F181" s="2979">
        <v>0.05</v>
      </c>
      <c r="G181" s="2996"/>
    </row>
    <row r="182" spans="1:7">
      <c r="A182" s="2989" t="s">
        <v>29</v>
      </c>
      <c r="B182" s="2978" t="s">
        <v>3189</v>
      </c>
      <c r="C182" s="2990"/>
      <c r="D182" s="2990"/>
      <c r="E182" s="2990"/>
      <c r="F182" s="2979">
        <v>0.05</v>
      </c>
      <c r="G182" s="2996"/>
    </row>
    <row r="183" spans="1:7">
      <c r="A183" s="2989" t="s">
        <v>29</v>
      </c>
      <c r="B183" s="2978" t="s">
        <v>3190</v>
      </c>
      <c r="C183" s="2990"/>
      <c r="D183" s="2990"/>
      <c r="E183" s="2990"/>
      <c r="F183" s="2979">
        <v>0.05</v>
      </c>
      <c r="G183" s="2996"/>
    </row>
    <row r="184" spans="1:7">
      <c r="A184" s="2989" t="s">
        <v>29</v>
      </c>
      <c r="B184" s="2978" t="s">
        <v>3191</v>
      </c>
      <c r="C184" s="2990"/>
      <c r="D184" s="2990"/>
      <c r="E184" s="2990"/>
      <c r="F184" s="2979">
        <v>0.05</v>
      </c>
      <c r="G184" s="2996"/>
    </row>
    <row r="185" spans="1:7">
      <c r="A185" s="2989" t="s">
        <v>29</v>
      </c>
      <c r="B185" s="2978" t="s">
        <v>3192</v>
      </c>
      <c r="C185" s="2990"/>
      <c r="D185" s="2990"/>
      <c r="E185" s="2990"/>
      <c r="F185" s="2979">
        <v>0.05</v>
      </c>
      <c r="G185" s="2996"/>
    </row>
    <row r="186" spans="1:7">
      <c r="A186" s="2989" t="s">
        <v>29</v>
      </c>
      <c r="B186" s="2978" t="s">
        <v>3193</v>
      </c>
      <c r="C186" s="2990"/>
      <c r="D186" s="2990"/>
      <c r="E186" s="2990"/>
      <c r="F186" s="2979">
        <v>0.05</v>
      </c>
      <c r="G186" s="2996"/>
    </row>
    <row r="187" spans="1:7">
      <c r="A187" s="2989" t="s">
        <v>29</v>
      </c>
      <c r="B187" s="2978" t="s">
        <v>3194</v>
      </c>
      <c r="C187" s="2990"/>
      <c r="D187" s="2990"/>
      <c r="E187" s="2990"/>
      <c r="F187" s="2979">
        <v>0.05</v>
      </c>
      <c r="G187" s="2996"/>
    </row>
    <row r="188" spans="1:7">
      <c r="A188" s="2989" t="s">
        <v>29</v>
      </c>
      <c r="B188" s="2978" t="s">
        <v>3195</v>
      </c>
      <c r="C188" s="2990"/>
      <c r="D188" s="2990"/>
      <c r="E188" s="2990"/>
      <c r="F188" s="2979">
        <v>0.05</v>
      </c>
      <c r="G188" s="2996"/>
    </row>
    <row r="189" spans="1:7" ht="14.25" thickBot="1">
      <c r="A189" s="2992" t="s">
        <v>29</v>
      </c>
      <c r="B189" s="2982" t="s">
        <v>3196</v>
      </c>
      <c r="C189" s="2984"/>
      <c r="D189" s="2984"/>
      <c r="E189" s="2984"/>
      <c r="F189" s="2983">
        <v>0.05</v>
      </c>
      <c r="G189" s="2997"/>
    </row>
    <row r="190" spans="1:7">
      <c r="A190" s="2988" t="s">
        <v>304</v>
      </c>
      <c r="B190" s="2974" t="s">
        <v>2852</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2888</v>
      </c>
      <c r="C199" s="2979">
        <v>0.13</v>
      </c>
      <c r="D199" s="2979">
        <v>0.13</v>
      </c>
      <c r="E199" s="2979">
        <v>0.13</v>
      </c>
      <c r="F199" s="2979">
        <v>0.13</v>
      </c>
      <c r="G199" s="2980">
        <v>0.13</v>
      </c>
    </row>
    <row r="200" spans="1:7">
      <c r="A200" s="2989" t="s">
        <v>304</v>
      </c>
      <c r="B200" s="2978" t="s">
        <v>2891</v>
      </c>
      <c r="C200" s="2995"/>
      <c r="D200" s="2995"/>
      <c r="E200" s="2995"/>
      <c r="F200" s="2979">
        <v>0.13</v>
      </c>
      <c r="G200" s="2991"/>
    </row>
    <row r="201" spans="1:7">
      <c r="A201" s="2989" t="s">
        <v>304</v>
      </c>
      <c r="B201" s="2978" t="s">
        <v>2896</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2899</v>
      </c>
      <c r="C203" s="2979">
        <v>0.129</v>
      </c>
      <c r="D203" s="2979">
        <v>0.129</v>
      </c>
      <c r="E203" s="2979">
        <v>0.13</v>
      </c>
      <c r="F203" s="2979">
        <v>0.13</v>
      </c>
      <c r="G203" s="2980">
        <v>0.13</v>
      </c>
    </row>
    <row r="204" spans="1:7">
      <c r="A204" s="2989" t="s">
        <v>304</v>
      </c>
      <c r="B204" s="2978" t="s">
        <v>2902</v>
      </c>
      <c r="C204" s="2979">
        <v>0.129</v>
      </c>
      <c r="D204" s="2979">
        <v>0.129</v>
      </c>
      <c r="E204" s="2979">
        <v>0.123</v>
      </c>
      <c r="F204" s="2979">
        <v>0.13</v>
      </c>
      <c r="G204" s="2980">
        <v>0.13</v>
      </c>
    </row>
    <row r="205" spans="1:7">
      <c r="A205" s="2989" t="s">
        <v>304</v>
      </c>
      <c r="B205" s="2978" t="s">
        <v>2904</v>
      </c>
      <c r="C205" s="2979">
        <v>0.13</v>
      </c>
      <c r="D205" s="2979">
        <v>0.13</v>
      </c>
      <c r="E205" s="2979">
        <v>0.13</v>
      </c>
      <c r="F205" s="2979">
        <v>0.13</v>
      </c>
      <c r="G205" s="2980">
        <v>0.13</v>
      </c>
    </row>
    <row r="206" spans="1:7">
      <c r="A206" s="2989" t="s">
        <v>304</v>
      </c>
      <c r="B206" s="2978" t="s">
        <v>2907</v>
      </c>
      <c r="C206" s="2979">
        <v>0.13</v>
      </c>
      <c r="D206" s="2979">
        <v>0.13</v>
      </c>
      <c r="E206" s="2979">
        <v>0.13</v>
      </c>
      <c r="F206" s="2979">
        <v>0.128</v>
      </c>
      <c r="G206" s="2980">
        <v>0.13</v>
      </c>
    </row>
    <row r="207" spans="1:7">
      <c r="A207" s="2989" t="s">
        <v>304</v>
      </c>
      <c r="B207" s="2978" t="s">
        <v>2909</v>
      </c>
      <c r="C207" s="2979">
        <v>0.13</v>
      </c>
      <c r="D207" s="2979">
        <v>0.13</v>
      </c>
      <c r="E207" s="2979">
        <v>0.13</v>
      </c>
      <c r="F207" s="2979">
        <v>0.13</v>
      </c>
      <c r="G207" s="2980">
        <v>0.13</v>
      </c>
    </row>
    <row r="208" spans="1:7">
      <c r="A208" s="2989" t="s">
        <v>304</v>
      </c>
      <c r="B208" s="2978" t="s">
        <v>2912</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2919</v>
      </c>
      <c r="C210" s="2979">
        <v>0.121</v>
      </c>
      <c r="D210" s="2979">
        <v>0.121</v>
      </c>
      <c r="E210" s="2979">
        <v>0.125</v>
      </c>
      <c r="F210" s="2979">
        <v>0.13</v>
      </c>
      <c r="G210" s="2980">
        <v>0.123</v>
      </c>
    </row>
    <row r="211" spans="1:7">
      <c r="A211" s="2989" t="s">
        <v>304</v>
      </c>
      <c r="B211" s="2978" t="s">
        <v>2922</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2934</v>
      </c>
      <c r="C214" s="2979">
        <v>0.128</v>
      </c>
      <c r="D214" s="2979">
        <v>0.128</v>
      </c>
      <c r="E214" s="2979">
        <v>0.13</v>
      </c>
      <c r="F214" s="2979">
        <v>0.13</v>
      </c>
      <c r="G214" s="2980">
        <v>0.13</v>
      </c>
    </row>
    <row r="215" spans="1:7">
      <c r="A215" s="2989" t="s">
        <v>304</v>
      </c>
      <c r="B215" s="2978" t="s">
        <v>2938</v>
      </c>
      <c r="C215" s="2979">
        <v>0.13</v>
      </c>
      <c r="D215" s="2979">
        <v>0.13</v>
      </c>
      <c r="E215" s="2979">
        <v>0.13</v>
      </c>
      <c r="F215" s="2979">
        <v>0.129</v>
      </c>
      <c r="G215" s="2980">
        <v>0.13</v>
      </c>
    </row>
    <row r="216" spans="1:7">
      <c r="A216" s="2989" t="s">
        <v>304</v>
      </c>
      <c r="B216" s="2978" t="s">
        <v>2945</v>
      </c>
      <c r="C216" s="2979">
        <v>0.13</v>
      </c>
      <c r="D216" s="2979">
        <v>0.13</v>
      </c>
      <c r="E216" s="2979">
        <v>0.13</v>
      </c>
      <c r="F216" s="2979">
        <v>0.13</v>
      </c>
      <c r="G216" s="2980">
        <v>0.13</v>
      </c>
    </row>
    <row r="217" spans="1:7">
      <c r="A217" s="2989" t="s">
        <v>304</v>
      </c>
      <c r="B217" s="2978" t="s">
        <v>2952</v>
      </c>
      <c r="C217" s="2979">
        <v>0.129</v>
      </c>
      <c r="D217" s="2979">
        <v>0.129</v>
      </c>
      <c r="E217" s="2979">
        <v>0.13</v>
      </c>
      <c r="F217" s="2979">
        <v>0.13</v>
      </c>
      <c r="G217" s="2980">
        <v>0.13</v>
      </c>
    </row>
    <row r="218" spans="1:7">
      <c r="A218" s="2989" t="s">
        <v>304</v>
      </c>
      <c r="B218" s="2978" t="s">
        <v>2958</v>
      </c>
      <c r="C218" s="2990"/>
      <c r="D218" s="2990"/>
      <c r="E218" s="2990"/>
      <c r="F218" s="2979">
        <v>0.05</v>
      </c>
      <c r="G218" s="2996"/>
    </row>
    <row r="219" spans="1:7">
      <c r="A219" s="2989" t="s">
        <v>304</v>
      </c>
      <c r="B219" s="2978" t="s">
        <v>2965</v>
      </c>
      <c r="C219" s="2990"/>
      <c r="D219" s="2990"/>
      <c r="E219" s="2990"/>
      <c r="F219" s="2979">
        <v>0.05</v>
      </c>
      <c r="G219" s="2996"/>
    </row>
    <row r="220" spans="1:7">
      <c r="A220" s="2989" t="s">
        <v>304</v>
      </c>
      <c r="B220" s="2978" t="s">
        <v>2971</v>
      </c>
      <c r="C220" s="2990"/>
      <c r="D220" s="2990"/>
      <c r="E220" s="2990"/>
      <c r="F220" s="2979">
        <v>0.05</v>
      </c>
      <c r="G220" s="2996"/>
    </row>
    <row r="221" spans="1:7">
      <c r="A221" s="2989" t="s">
        <v>304</v>
      </c>
      <c r="B221" s="2978" t="s">
        <v>2976</v>
      </c>
      <c r="C221" s="2990"/>
      <c r="D221" s="2990"/>
      <c r="E221" s="2990"/>
      <c r="F221" s="2979">
        <v>0.05</v>
      </c>
      <c r="G221" s="2996"/>
    </row>
    <row r="222" spans="1:7">
      <c r="A222" s="2989" t="s">
        <v>304</v>
      </c>
      <c r="B222" s="2978" t="s">
        <v>2980</v>
      </c>
      <c r="C222" s="2990"/>
      <c r="D222" s="2990"/>
      <c r="E222" s="2990"/>
      <c r="F222" s="2979">
        <v>0.05</v>
      </c>
      <c r="G222" s="2996"/>
    </row>
    <row r="223" spans="1:7">
      <c r="A223" s="2989" t="s">
        <v>304</v>
      </c>
      <c r="B223" s="2978" t="s">
        <v>2985</v>
      </c>
      <c r="C223" s="2990"/>
      <c r="D223" s="2990"/>
      <c r="E223" s="2990"/>
      <c r="F223" s="2979">
        <v>0.05</v>
      </c>
      <c r="G223" s="2996"/>
    </row>
    <row r="224" spans="1:7">
      <c r="A224" s="2989" t="s">
        <v>304</v>
      </c>
      <c r="B224" s="2978" t="s">
        <v>2990</v>
      </c>
      <c r="C224" s="2990"/>
      <c r="D224" s="2990"/>
      <c r="E224" s="2990"/>
      <c r="F224" s="2979">
        <v>0.05</v>
      </c>
      <c r="G224" s="2996"/>
    </row>
    <row r="225" spans="1:7">
      <c r="A225" s="2989" t="s">
        <v>304</v>
      </c>
      <c r="B225" s="2978" t="s">
        <v>2995</v>
      </c>
      <c r="C225" s="2990"/>
      <c r="D225" s="2990"/>
      <c r="E225" s="2990"/>
      <c r="F225" s="2979">
        <v>0.05</v>
      </c>
      <c r="G225" s="2996"/>
    </row>
    <row r="226" spans="1:7">
      <c r="A226" s="2989" t="s">
        <v>304</v>
      </c>
      <c r="B226" s="2978" t="s">
        <v>3197</v>
      </c>
      <c r="C226" s="2990"/>
      <c r="D226" s="2990"/>
      <c r="E226" s="2990"/>
      <c r="F226" s="2979">
        <v>0.05</v>
      </c>
      <c r="G226" s="2996"/>
    </row>
    <row r="227" spans="1:7">
      <c r="A227" s="2989" t="s">
        <v>304</v>
      </c>
      <c r="B227" s="2978" t="s">
        <v>3198</v>
      </c>
      <c r="C227" s="2990"/>
      <c r="D227" s="2990"/>
      <c r="E227" s="2990"/>
      <c r="F227" s="2979">
        <v>0.05</v>
      </c>
      <c r="G227" s="2996"/>
    </row>
    <row r="228" spans="1:7">
      <c r="A228" s="2989" t="s">
        <v>304</v>
      </c>
      <c r="B228" s="2978" t="s">
        <v>3199</v>
      </c>
      <c r="C228" s="2990"/>
      <c r="D228" s="2990"/>
      <c r="E228" s="2990"/>
      <c r="F228" s="2979">
        <v>0.05</v>
      </c>
      <c r="G228" s="2996"/>
    </row>
    <row r="229" spans="1:7">
      <c r="A229" s="2989" t="s">
        <v>304</v>
      </c>
      <c r="B229" s="2978" t="s">
        <v>3200</v>
      </c>
      <c r="C229" s="2990"/>
      <c r="D229" s="2990"/>
      <c r="E229" s="2990"/>
      <c r="F229" s="2979">
        <v>0.05</v>
      </c>
      <c r="G229" s="2996"/>
    </row>
    <row r="230" spans="1:7">
      <c r="A230" s="2989" t="s">
        <v>304</v>
      </c>
      <c r="B230" s="2978" t="s">
        <v>3201</v>
      </c>
      <c r="C230" s="2990"/>
      <c r="D230" s="2990"/>
      <c r="E230" s="2990"/>
      <c r="F230" s="2979">
        <v>0.05</v>
      </c>
      <c r="G230" s="2996"/>
    </row>
    <row r="231" spans="1:7">
      <c r="A231" s="2989" t="s">
        <v>304</v>
      </c>
      <c r="B231" s="2978" t="s">
        <v>3202</v>
      </c>
      <c r="C231" s="2990"/>
      <c r="D231" s="2990"/>
      <c r="E231" s="2990"/>
      <c r="F231" s="2979">
        <v>0.05</v>
      </c>
      <c r="G231" s="2996"/>
    </row>
    <row r="232" spans="1:7">
      <c r="A232" s="2989" t="s">
        <v>304</v>
      </c>
      <c r="B232" s="2978" t="s">
        <v>3203</v>
      </c>
      <c r="C232" s="2990"/>
      <c r="D232" s="2990"/>
      <c r="E232" s="2990"/>
      <c r="F232" s="2979">
        <v>0.05</v>
      </c>
      <c r="G232" s="2996"/>
    </row>
    <row r="233" spans="1:7" ht="14.25" thickBot="1">
      <c r="A233" s="2992" t="s">
        <v>304</v>
      </c>
      <c r="B233" s="2982" t="s">
        <v>3204</v>
      </c>
      <c r="C233" s="2984"/>
      <c r="D233" s="2984"/>
      <c r="E233" s="2984"/>
      <c r="F233" s="2983">
        <v>0.05</v>
      </c>
      <c r="G233" s="2997"/>
    </row>
    <row r="234" spans="1:7">
      <c r="A234" s="2988" t="s">
        <v>305</v>
      </c>
      <c r="B234" s="2974" t="s">
        <v>2853</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2873</v>
      </c>
      <c r="C238" s="2979">
        <v>0.14899999999999999</v>
      </c>
      <c r="D238" s="2979">
        <v>0.14899999999999999</v>
      </c>
      <c r="E238" s="2979">
        <v>0.15</v>
      </c>
      <c r="F238" s="2979">
        <v>0.15</v>
      </c>
      <c r="G238" s="2980">
        <v>0.15</v>
      </c>
    </row>
    <row r="239" spans="1:7">
      <c r="A239" s="2989" t="s">
        <v>305</v>
      </c>
      <c r="B239" s="2978" t="s">
        <v>2877</v>
      </c>
      <c r="C239" s="2979">
        <v>0.15</v>
      </c>
      <c r="D239" s="2979">
        <v>0.15</v>
      </c>
      <c r="E239" s="2979">
        <v>0.15</v>
      </c>
      <c r="F239" s="2979">
        <v>0.15</v>
      </c>
      <c r="G239" s="2980">
        <v>0.15</v>
      </c>
    </row>
    <row r="240" spans="1:7">
      <c r="A240" s="2989" t="s">
        <v>305</v>
      </c>
      <c r="B240" s="2978" t="s">
        <v>2882</v>
      </c>
      <c r="C240" s="2979">
        <v>0.15</v>
      </c>
      <c r="D240" s="2979">
        <v>0.15</v>
      </c>
      <c r="E240" s="2979">
        <v>0.15</v>
      </c>
      <c r="F240" s="2979">
        <v>0.15</v>
      </c>
      <c r="G240" s="2980">
        <v>0.15</v>
      </c>
    </row>
    <row r="241" spans="1:7">
      <c r="A241" s="2989" t="s">
        <v>305</v>
      </c>
      <c r="B241" s="2978" t="s">
        <v>2886</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2892</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2900</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2905</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2913</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2926</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2935</v>
      </c>
      <c r="C258" s="2979">
        <v>0.14299999999999999</v>
      </c>
      <c r="D258" s="2979">
        <v>0.14299999999999999</v>
      </c>
      <c r="E258" s="2979">
        <v>0.15</v>
      </c>
      <c r="F258" s="2979">
        <v>0.14799999999999999</v>
      </c>
      <c r="G258" s="2980">
        <v>0.14599999999999999</v>
      </c>
    </row>
    <row r="259" spans="1:7">
      <c r="A259" s="2989" t="s">
        <v>305</v>
      </c>
      <c r="B259" s="2978" t="s">
        <v>2939</v>
      </c>
      <c r="C259" s="2979">
        <v>0.14399999999999999</v>
      </c>
      <c r="D259" s="2979">
        <v>0.14399999999999999</v>
      </c>
      <c r="E259" s="2979">
        <v>0.14899999999999999</v>
      </c>
      <c r="F259" s="2979">
        <v>0.14699999999999999</v>
      </c>
      <c r="G259" s="2980">
        <v>0.14599999999999999</v>
      </c>
    </row>
    <row r="260" spans="1:7">
      <c r="A260" s="2989" t="s">
        <v>305</v>
      </c>
      <c r="B260" s="2978" t="s">
        <v>2946</v>
      </c>
      <c r="C260" s="2979">
        <v>0.109</v>
      </c>
      <c r="D260" s="2979">
        <v>0.111</v>
      </c>
      <c r="E260" s="2979">
        <v>0.13100000000000001</v>
      </c>
      <c r="F260" s="2979">
        <v>0.126</v>
      </c>
      <c r="G260" s="2980">
        <v>0.11899999999999999</v>
      </c>
    </row>
    <row r="261" spans="1:7">
      <c r="A261" s="2989" t="s">
        <v>305</v>
      </c>
      <c r="B261" s="2978" t="s">
        <v>2953</v>
      </c>
      <c r="C261" s="2979">
        <v>0.1</v>
      </c>
      <c r="D261" s="2979">
        <v>0.1</v>
      </c>
      <c r="E261" s="2979">
        <v>0.11799999999999999</v>
      </c>
      <c r="F261" s="2979">
        <v>0.108</v>
      </c>
      <c r="G261" s="2980">
        <v>0.107</v>
      </c>
    </row>
    <row r="262" spans="1:7">
      <c r="A262" s="2989" t="s">
        <v>305</v>
      </c>
      <c r="B262" s="2978" t="s">
        <v>2959</v>
      </c>
      <c r="C262" s="2979">
        <v>0.1</v>
      </c>
      <c r="D262" s="2979">
        <v>0.1</v>
      </c>
      <c r="E262" s="2979">
        <v>0.1</v>
      </c>
      <c r="F262" s="2979">
        <v>0.14099999999999999</v>
      </c>
      <c r="G262" s="2980">
        <v>0.1</v>
      </c>
    </row>
    <row r="263" spans="1:7">
      <c r="A263" s="2989" t="s">
        <v>305</v>
      </c>
      <c r="B263" s="2978" t="s">
        <v>2966</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2977</v>
      </c>
      <c r="C265" s="2990"/>
      <c r="D265" s="2990"/>
      <c r="E265" s="2990"/>
      <c r="F265" s="2979">
        <v>0.05</v>
      </c>
      <c r="G265" s="2996"/>
    </row>
    <row r="266" spans="1:7">
      <c r="A266" s="2989" t="s">
        <v>305</v>
      </c>
      <c r="B266" s="2978" t="s">
        <v>2981</v>
      </c>
      <c r="C266" s="2990"/>
      <c r="D266" s="2990"/>
      <c r="E266" s="2990"/>
      <c r="F266" s="2979">
        <v>0.05</v>
      </c>
      <c r="G266" s="2996"/>
    </row>
    <row r="267" spans="1:7">
      <c r="A267" s="2989" t="s">
        <v>305</v>
      </c>
      <c r="B267" s="2978" t="s">
        <v>2986</v>
      </c>
      <c r="C267" s="2990"/>
      <c r="D267" s="2990"/>
      <c r="E267" s="2990"/>
      <c r="F267" s="2979">
        <v>0.05</v>
      </c>
      <c r="G267" s="2996"/>
    </row>
    <row r="268" spans="1:7">
      <c r="A268" s="2989" t="s">
        <v>305</v>
      </c>
      <c r="B268" s="2978" t="s">
        <v>2991</v>
      </c>
      <c r="C268" s="2990"/>
      <c r="D268" s="2990"/>
      <c r="E268" s="2990"/>
      <c r="F268" s="2979">
        <v>0.05</v>
      </c>
      <c r="G268" s="2996"/>
    </row>
    <row r="269" spans="1:7">
      <c r="A269" s="2989" t="s">
        <v>305</v>
      </c>
      <c r="B269" s="2978" t="s">
        <v>2996</v>
      </c>
      <c r="C269" s="2990"/>
      <c r="D269" s="2990"/>
      <c r="E269" s="2990"/>
      <c r="F269" s="2979">
        <v>0.05</v>
      </c>
      <c r="G269" s="2996"/>
    </row>
    <row r="270" spans="1:7">
      <c r="A270" s="2989" t="s">
        <v>305</v>
      </c>
      <c r="B270" s="2978" t="s">
        <v>3001</v>
      </c>
      <c r="C270" s="2990"/>
      <c r="D270" s="2990"/>
      <c r="E270" s="2990"/>
      <c r="F270" s="2979">
        <v>0.05</v>
      </c>
      <c r="G270" s="2996"/>
    </row>
    <row r="271" spans="1:7">
      <c r="A271" s="2989" t="s">
        <v>305</v>
      </c>
      <c r="B271" s="2978" t="s">
        <v>3205</v>
      </c>
      <c r="C271" s="2990"/>
      <c r="D271" s="2990"/>
      <c r="E271" s="2990"/>
      <c r="F271" s="2979">
        <v>0.05</v>
      </c>
      <c r="G271" s="2996"/>
    </row>
    <row r="272" spans="1:7">
      <c r="A272" s="2989" t="s">
        <v>305</v>
      </c>
      <c r="B272" s="2978" t="s">
        <v>3206</v>
      </c>
      <c r="C272" s="2990"/>
      <c r="D272" s="2990"/>
      <c r="E272" s="2990"/>
      <c r="F272" s="2979">
        <v>0.05</v>
      </c>
      <c r="G272" s="2996"/>
    </row>
    <row r="273" spans="1:7">
      <c r="A273" s="2989" t="s">
        <v>305</v>
      </c>
      <c r="B273" s="2978" t="s">
        <v>3207</v>
      </c>
      <c r="C273" s="2990"/>
      <c r="D273" s="2990"/>
      <c r="E273" s="2990"/>
      <c r="F273" s="2979">
        <v>0.05</v>
      </c>
      <c r="G273" s="2996"/>
    </row>
    <row r="274" spans="1:7">
      <c r="A274" s="2989" t="s">
        <v>305</v>
      </c>
      <c r="B274" s="2978" t="s">
        <v>3208</v>
      </c>
      <c r="C274" s="2990"/>
      <c r="D274" s="2990"/>
      <c r="E274" s="2990"/>
      <c r="F274" s="2979">
        <v>0.05</v>
      </c>
      <c r="G274" s="2996"/>
    </row>
    <row r="275" spans="1:7">
      <c r="A275" s="2989" t="s">
        <v>305</v>
      </c>
      <c r="B275" s="2978" t="s">
        <v>3209</v>
      </c>
      <c r="C275" s="2990"/>
      <c r="D275" s="2990"/>
      <c r="E275" s="2990"/>
      <c r="F275" s="2979">
        <v>0.05</v>
      </c>
      <c r="G275" s="2996"/>
    </row>
    <row r="276" spans="1:7" ht="14.25" thickBot="1">
      <c r="A276" s="2992" t="s">
        <v>305</v>
      </c>
      <c r="B276" s="2982" t="s">
        <v>3210</v>
      </c>
      <c r="C276" s="2984"/>
      <c r="D276" s="2984"/>
      <c r="E276" s="2984"/>
      <c r="F276" s="2983">
        <v>0.05</v>
      </c>
      <c r="G276" s="2997"/>
    </row>
    <row r="277" spans="1:7">
      <c r="A277" s="2988" t="s">
        <v>306</v>
      </c>
      <c r="B277" s="2974" t="s">
        <v>2854</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2866</v>
      </c>
      <c r="C279" s="2979">
        <v>0.15</v>
      </c>
      <c r="D279" s="2979">
        <v>0.15</v>
      </c>
      <c r="E279" s="2979">
        <v>0.15</v>
      </c>
      <c r="F279" s="2979">
        <v>0.15</v>
      </c>
      <c r="G279" s="2980">
        <v>0.15</v>
      </c>
    </row>
    <row r="280" spans="1:7">
      <c r="A280" s="2989" t="s">
        <v>306</v>
      </c>
      <c r="B280" s="2978" t="s">
        <v>2870</v>
      </c>
      <c r="C280" s="2979">
        <v>0.15</v>
      </c>
      <c r="D280" s="2979">
        <v>0.15</v>
      </c>
      <c r="E280" s="2979">
        <v>0.15</v>
      </c>
      <c r="F280" s="2979">
        <v>0.15</v>
      </c>
      <c r="G280" s="2980">
        <v>0.15</v>
      </c>
    </row>
    <row r="281" spans="1:7">
      <c r="A281" s="2989" t="s">
        <v>306</v>
      </c>
      <c r="B281" s="2978" t="s">
        <v>2874</v>
      </c>
      <c r="C281" s="2979">
        <v>0.15</v>
      </c>
      <c r="D281" s="2979">
        <v>0.15</v>
      </c>
      <c r="E281" s="2979">
        <v>0.15</v>
      </c>
      <c r="F281" s="2979">
        <v>0.15</v>
      </c>
      <c r="G281" s="2980">
        <v>0.15</v>
      </c>
    </row>
    <row r="282" spans="1:7">
      <c r="A282" s="2989" t="s">
        <v>306</v>
      </c>
      <c r="B282" s="2978" t="s">
        <v>2878</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2893</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2898</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2908</v>
      </c>
      <c r="C293" s="2979">
        <v>0.15</v>
      </c>
      <c r="D293" s="2979">
        <v>0.15</v>
      </c>
      <c r="E293" s="2979">
        <v>0.15</v>
      </c>
      <c r="F293" s="2979">
        <v>0.14499999999999999</v>
      </c>
      <c r="G293" s="2980">
        <v>0.15</v>
      </c>
    </row>
    <row r="294" spans="1:7">
      <c r="A294" s="2989" t="s">
        <v>306</v>
      </c>
      <c r="B294" s="2978" t="s">
        <v>2910</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2927</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2940</v>
      </c>
      <c r="C302" s="2979">
        <v>0.15</v>
      </c>
      <c r="D302" s="2979">
        <v>0.15</v>
      </c>
      <c r="E302" s="2979">
        <v>0.15</v>
      </c>
      <c r="F302" s="2979">
        <v>0.14699999999999999</v>
      </c>
      <c r="G302" s="2980">
        <v>0.15</v>
      </c>
    </row>
    <row r="303" spans="1:7">
      <c r="A303" s="2989" t="s">
        <v>306</v>
      </c>
      <c r="B303" s="2978" t="s">
        <v>2947</v>
      </c>
      <c r="C303" s="2979">
        <v>0.15</v>
      </c>
      <c r="D303" s="2979">
        <v>0.15</v>
      </c>
      <c r="E303" s="2979">
        <v>0.15</v>
      </c>
      <c r="F303" s="2979">
        <v>0.14199999999999999</v>
      </c>
      <c r="G303" s="2980">
        <v>0.15</v>
      </c>
    </row>
    <row r="304" spans="1:7">
      <c r="A304" s="2989" t="s">
        <v>306</v>
      </c>
      <c r="B304" s="2978" t="s">
        <v>2954</v>
      </c>
      <c r="C304" s="2979">
        <v>0.15</v>
      </c>
      <c r="D304" s="2979">
        <v>0.15</v>
      </c>
      <c r="E304" s="2979">
        <v>0.15</v>
      </c>
      <c r="F304" s="2979">
        <v>0.14499999999999999</v>
      </c>
      <c r="G304" s="2980">
        <v>0.15</v>
      </c>
    </row>
    <row r="305" spans="1:7">
      <c r="A305" s="2989" t="s">
        <v>306</v>
      </c>
      <c r="B305" s="2978" t="s">
        <v>2960</v>
      </c>
      <c r="C305" s="2979">
        <v>0.15</v>
      </c>
      <c r="D305" s="2979">
        <v>0.15</v>
      </c>
      <c r="E305" s="2979">
        <v>0.15</v>
      </c>
      <c r="F305" s="2979">
        <v>0.111</v>
      </c>
      <c r="G305" s="2980">
        <v>0.15</v>
      </c>
    </row>
    <row r="306" spans="1:7">
      <c r="A306" s="2989" t="s">
        <v>306</v>
      </c>
      <c r="B306" s="2978" t="s">
        <v>2967</v>
      </c>
      <c r="C306" s="2979">
        <v>0.15</v>
      </c>
      <c r="D306" s="2979">
        <v>0.15</v>
      </c>
      <c r="E306" s="2979">
        <v>0.15</v>
      </c>
      <c r="F306" s="2979">
        <v>0.126</v>
      </c>
      <c r="G306" s="2980">
        <v>0.15</v>
      </c>
    </row>
    <row r="307" spans="1:7">
      <c r="A307" s="2989" t="s">
        <v>306</v>
      </c>
      <c r="B307" s="2978" t="s">
        <v>2972</v>
      </c>
      <c r="C307" s="2979">
        <v>0.15</v>
      </c>
      <c r="D307" s="2979">
        <v>0.15</v>
      </c>
      <c r="E307" s="2979">
        <v>0.15</v>
      </c>
      <c r="F307" s="2979">
        <v>0.12</v>
      </c>
      <c r="G307" s="2980">
        <v>0.15</v>
      </c>
    </row>
    <row r="308" spans="1:7">
      <c r="A308" s="2989" t="s">
        <v>306</v>
      </c>
      <c r="B308" s="2978" t="s">
        <v>2978</v>
      </c>
      <c r="C308" s="2979">
        <v>0.15</v>
      </c>
      <c r="D308" s="2979">
        <v>0.15</v>
      </c>
      <c r="E308" s="2979">
        <v>0.15</v>
      </c>
      <c r="F308" s="2979">
        <v>0.13</v>
      </c>
      <c r="G308" s="2980">
        <v>0.15</v>
      </c>
    </row>
    <row r="309" spans="1:7">
      <c r="A309" s="2989" t="s">
        <v>306</v>
      </c>
      <c r="B309" s="2978" t="s">
        <v>2982</v>
      </c>
      <c r="C309" s="2979">
        <v>0.15</v>
      </c>
      <c r="D309" s="2979">
        <v>0.15</v>
      </c>
      <c r="E309" s="2979">
        <v>0.15</v>
      </c>
      <c r="F309" s="2979">
        <v>0.14099999999999999</v>
      </c>
      <c r="G309" s="2980">
        <v>0.15</v>
      </c>
    </row>
    <row r="310" spans="1:7">
      <c r="A310" s="2989" t="s">
        <v>306</v>
      </c>
      <c r="B310" s="2978" t="s">
        <v>2987</v>
      </c>
      <c r="C310" s="2979">
        <v>0.15</v>
      </c>
      <c r="D310" s="2979">
        <v>0.15</v>
      </c>
      <c r="E310" s="2979">
        <v>0.15</v>
      </c>
      <c r="F310" s="2979">
        <v>0.15</v>
      </c>
      <c r="G310" s="2980">
        <v>0.15</v>
      </c>
    </row>
    <row r="311" spans="1:7">
      <c r="A311" s="2989" t="s">
        <v>306</v>
      </c>
      <c r="B311" s="2978" t="s">
        <v>2992</v>
      </c>
      <c r="C311" s="2979">
        <v>0.13200000000000001</v>
      </c>
      <c r="D311" s="2979">
        <v>0.13300000000000001</v>
      </c>
      <c r="E311" s="2979">
        <v>0.14499999999999999</v>
      </c>
      <c r="F311" s="2979">
        <v>0.14199999999999999</v>
      </c>
      <c r="G311" s="2980">
        <v>0.14000000000000001</v>
      </c>
    </row>
    <row r="312" spans="1:7">
      <c r="A312" s="2989" t="s">
        <v>306</v>
      </c>
      <c r="B312" s="2978" t="s">
        <v>2997</v>
      </c>
      <c r="C312" s="2979">
        <v>0.13800000000000001</v>
      </c>
      <c r="D312" s="2979">
        <v>0.14000000000000001</v>
      </c>
      <c r="E312" s="2979">
        <v>0.14599999999999999</v>
      </c>
      <c r="F312" s="2979">
        <v>0.14899999999999999</v>
      </c>
      <c r="G312" s="2980">
        <v>0.14199999999999999</v>
      </c>
    </row>
    <row r="313" spans="1:7">
      <c r="A313" s="2989" t="s">
        <v>306</v>
      </c>
      <c r="B313" s="2978" t="s">
        <v>3002</v>
      </c>
      <c r="C313" s="2979">
        <v>0.125</v>
      </c>
      <c r="D313" s="2979">
        <v>0.127</v>
      </c>
      <c r="E313" s="2979">
        <v>0.14399999999999999</v>
      </c>
      <c r="F313" s="2979">
        <v>0.115</v>
      </c>
      <c r="G313" s="2980">
        <v>0.13600000000000001</v>
      </c>
    </row>
    <row r="314" spans="1:7">
      <c r="A314" s="2989" t="s">
        <v>306</v>
      </c>
      <c r="B314" s="2978" t="s">
        <v>3211</v>
      </c>
      <c r="C314" s="2995"/>
      <c r="D314" s="2995"/>
      <c r="E314" s="2995"/>
      <c r="F314" s="2979">
        <v>0.05</v>
      </c>
      <c r="G314" s="2996"/>
    </row>
    <row r="315" spans="1:7">
      <c r="A315" s="2989" t="s">
        <v>306</v>
      </c>
      <c r="B315" s="2978" t="s">
        <v>3212</v>
      </c>
      <c r="C315" s="2995"/>
      <c r="D315" s="2995"/>
      <c r="E315" s="2995"/>
      <c r="F315" s="2979">
        <v>0.05</v>
      </c>
      <c r="G315" s="2996"/>
    </row>
    <row r="316" spans="1:7">
      <c r="A316" s="2989" t="s">
        <v>306</v>
      </c>
      <c r="B316" s="2978" t="s">
        <v>3213</v>
      </c>
      <c r="C316" s="2990"/>
      <c r="D316" s="2990"/>
      <c r="E316" s="2990"/>
      <c r="F316" s="2979">
        <v>0.05</v>
      </c>
      <c r="G316" s="2996"/>
    </row>
    <row r="317" spans="1:7">
      <c r="A317" s="2989" t="s">
        <v>306</v>
      </c>
      <c r="B317" s="2978" t="s">
        <v>3214</v>
      </c>
      <c r="C317" s="2990"/>
      <c r="D317" s="2990"/>
      <c r="E317" s="2990"/>
      <c r="F317" s="2979">
        <v>0.05</v>
      </c>
      <c r="G317" s="2996"/>
    </row>
    <row r="318" spans="1:7">
      <c r="A318" s="2989" t="s">
        <v>306</v>
      </c>
      <c r="B318" s="2978" t="s">
        <v>3215</v>
      </c>
      <c r="C318" s="2990"/>
      <c r="D318" s="2990"/>
      <c r="E318" s="2990"/>
      <c r="F318" s="2979">
        <v>0.05</v>
      </c>
      <c r="G318" s="2996"/>
    </row>
    <row r="319" spans="1:7">
      <c r="A319" s="2989" t="s">
        <v>306</v>
      </c>
      <c r="B319" s="2978" t="s">
        <v>3216</v>
      </c>
      <c r="C319" s="2990"/>
      <c r="D319" s="2990"/>
      <c r="E319" s="2990"/>
      <c r="F319" s="2979">
        <v>0.05</v>
      </c>
      <c r="G319" s="2996"/>
    </row>
    <row r="320" spans="1:7">
      <c r="A320" s="2989" t="s">
        <v>306</v>
      </c>
      <c r="B320" s="2978" t="s">
        <v>3217</v>
      </c>
      <c r="C320" s="2990"/>
      <c r="D320" s="2990"/>
      <c r="E320" s="2990"/>
      <c r="F320" s="2979">
        <v>0.05</v>
      </c>
      <c r="G320" s="2996"/>
    </row>
    <row r="321" spans="1:7">
      <c r="A321" s="2989" t="s">
        <v>306</v>
      </c>
      <c r="B321" s="2978" t="s">
        <v>3218</v>
      </c>
      <c r="C321" s="2990"/>
      <c r="D321" s="2990"/>
      <c r="E321" s="2990"/>
      <c r="F321" s="2979">
        <v>0.05</v>
      </c>
      <c r="G321" s="2996"/>
    </row>
    <row r="322" spans="1:7">
      <c r="A322" s="2989" t="s">
        <v>306</v>
      </c>
      <c r="B322" s="2978" t="s">
        <v>3219</v>
      </c>
      <c r="C322" s="2990"/>
      <c r="D322" s="2990"/>
      <c r="E322" s="2990"/>
      <c r="F322" s="2979">
        <v>0.05</v>
      </c>
      <c r="G322" s="2996"/>
    </row>
    <row r="323" spans="1:7">
      <c r="A323" s="2989" t="s">
        <v>306</v>
      </c>
      <c r="B323" s="2978" t="s">
        <v>3220</v>
      </c>
      <c r="C323" s="2990"/>
      <c r="D323" s="2990"/>
      <c r="E323" s="2990"/>
      <c r="F323" s="2979">
        <v>0.05</v>
      </c>
      <c r="G323" s="2996"/>
    </row>
    <row r="324" spans="1:7">
      <c r="A324" s="2989" t="s">
        <v>306</v>
      </c>
      <c r="B324" s="2978" t="s">
        <v>3221</v>
      </c>
      <c r="C324" s="2990"/>
      <c r="D324" s="2990"/>
      <c r="E324" s="2990"/>
      <c r="F324" s="2979">
        <v>0.05</v>
      </c>
      <c r="G324" s="2996"/>
    </row>
    <row r="325" spans="1:7">
      <c r="A325" s="2989" t="s">
        <v>306</v>
      </c>
      <c r="B325" s="2978" t="s">
        <v>3222</v>
      </c>
      <c r="C325" s="2990"/>
      <c r="D325" s="2990"/>
      <c r="E325" s="2990"/>
      <c r="F325" s="2979">
        <v>0.05</v>
      </c>
      <c r="G325" s="2996"/>
    </row>
    <row r="326" spans="1:7" ht="14.25" thickBot="1">
      <c r="A326" s="2992" t="s">
        <v>306</v>
      </c>
      <c r="B326" s="2982" t="s">
        <v>3223</v>
      </c>
      <c r="C326" s="2984"/>
      <c r="D326" s="2984"/>
      <c r="E326" s="2984"/>
      <c r="F326" s="2983">
        <v>0.05</v>
      </c>
      <c r="G326" s="2997"/>
    </row>
    <row r="327" spans="1:7">
      <c r="A327" s="2988" t="s">
        <v>307</v>
      </c>
      <c r="B327" s="2974" t="s">
        <v>2855</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2867</v>
      </c>
      <c r="C329" s="2979">
        <v>0.15</v>
      </c>
      <c r="D329" s="2979">
        <v>0.15</v>
      </c>
      <c r="E329" s="2979">
        <v>0.15</v>
      </c>
      <c r="F329" s="2979">
        <v>0.15</v>
      </c>
      <c r="G329" s="2980">
        <v>0.15</v>
      </c>
    </row>
    <row r="330" spans="1:7">
      <c r="A330" s="2989" t="s">
        <v>307</v>
      </c>
      <c r="B330" s="2978" t="s">
        <v>2871</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2879</v>
      </c>
      <c r="C332" s="2979">
        <v>0.15</v>
      </c>
      <c r="D332" s="2979">
        <v>0.15</v>
      </c>
      <c r="E332" s="2979">
        <v>0.15</v>
      </c>
      <c r="F332" s="2979">
        <v>0.15</v>
      </c>
      <c r="G332" s="2980">
        <v>0.15</v>
      </c>
    </row>
    <row r="333" spans="1:7">
      <c r="A333" s="2989" t="s">
        <v>307</v>
      </c>
      <c r="B333" s="2978" t="s">
        <v>2883</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2889</v>
      </c>
      <c r="C336" s="2979">
        <v>0.15</v>
      </c>
      <c r="D336" s="2979">
        <v>0.15</v>
      </c>
      <c r="E336" s="2979">
        <v>0.15</v>
      </c>
      <c r="F336" s="2979">
        <v>0.14199999999999999</v>
      </c>
      <c r="G336" s="2980">
        <v>0.15</v>
      </c>
    </row>
    <row r="337" spans="1:7">
      <c r="A337" s="2989" t="s">
        <v>307</v>
      </c>
      <c r="B337" s="2978" t="s">
        <v>2894</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2901</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2906</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2914</v>
      </c>
      <c r="C345" s="2979">
        <v>0.15</v>
      </c>
      <c r="D345" s="2979">
        <v>0.15</v>
      </c>
      <c r="E345" s="2979">
        <v>0.15</v>
      </c>
      <c r="F345" s="2979">
        <v>0.13800000000000001</v>
      </c>
      <c r="G345" s="2980">
        <v>0.15</v>
      </c>
    </row>
    <row r="346" spans="1:7">
      <c r="A346" s="2989" t="s">
        <v>307</v>
      </c>
      <c r="B346" s="2978" t="s">
        <v>2916</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2923</v>
      </c>
      <c r="C348" s="2979">
        <v>0.15</v>
      </c>
      <c r="D348" s="2979">
        <v>0.15</v>
      </c>
      <c r="E348" s="2979">
        <v>0.15</v>
      </c>
      <c r="F348" s="2979">
        <v>0.14399999999999999</v>
      </c>
      <c r="G348" s="2980">
        <v>0.15</v>
      </c>
    </row>
    <row r="349" spans="1:7">
      <c r="A349" s="2989" t="s">
        <v>307</v>
      </c>
      <c r="B349" s="2978" t="s">
        <v>2928</v>
      </c>
      <c r="C349" s="2979">
        <v>0.15</v>
      </c>
      <c r="D349" s="2979">
        <v>0.15</v>
      </c>
      <c r="E349" s="2979">
        <v>0.15</v>
      </c>
      <c r="F349" s="2979">
        <v>0.15</v>
      </c>
      <c r="G349" s="2980">
        <v>0.15</v>
      </c>
    </row>
    <row r="350" spans="1:7">
      <c r="A350" s="2989" t="s">
        <v>307</v>
      </c>
      <c r="B350" s="2978" t="s">
        <v>2931</v>
      </c>
      <c r="C350" s="2979">
        <v>0.15</v>
      </c>
      <c r="D350" s="2979">
        <v>0.15</v>
      </c>
      <c r="E350" s="2979">
        <v>0.15</v>
      </c>
      <c r="F350" s="2979">
        <v>0.14699999999999999</v>
      </c>
      <c r="G350" s="2980">
        <v>0.15</v>
      </c>
    </row>
    <row r="351" spans="1:7">
      <c r="A351" s="2989" t="s">
        <v>307</v>
      </c>
      <c r="B351" s="2978" t="s">
        <v>2936</v>
      </c>
      <c r="C351" s="2979">
        <v>0.15</v>
      </c>
      <c r="D351" s="2979">
        <v>0.15</v>
      </c>
      <c r="E351" s="2979">
        <v>0.15</v>
      </c>
      <c r="F351" s="2979">
        <v>0.13</v>
      </c>
      <c r="G351" s="2980">
        <v>0.15</v>
      </c>
    </row>
    <row r="352" spans="1:7">
      <c r="A352" s="2989" t="s">
        <v>307</v>
      </c>
      <c r="B352" s="2978" t="s">
        <v>2941</v>
      </c>
      <c r="C352" s="2979">
        <v>0.15</v>
      </c>
      <c r="D352" s="2979">
        <v>0.15</v>
      </c>
      <c r="E352" s="2979">
        <v>0.15</v>
      </c>
      <c r="F352" s="2979">
        <v>0.14599999999999999</v>
      </c>
      <c r="G352" s="2980">
        <v>0.15</v>
      </c>
    </row>
    <row r="353" spans="1:7">
      <c r="A353" s="2989" t="s">
        <v>307</v>
      </c>
      <c r="B353" s="2978" t="s">
        <v>2948</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2961</v>
      </c>
      <c r="C355" s="2979">
        <v>0.15</v>
      </c>
      <c r="D355" s="2979">
        <v>0.15</v>
      </c>
      <c r="E355" s="2979">
        <v>0.15</v>
      </c>
      <c r="F355" s="2979">
        <v>0.15</v>
      </c>
      <c r="G355" s="2980">
        <v>0.15</v>
      </c>
    </row>
    <row r="356" spans="1:7">
      <c r="A356" s="2989" t="s">
        <v>307</v>
      </c>
      <c r="B356" s="2978" t="s">
        <v>2968</v>
      </c>
      <c r="C356" s="2979">
        <v>0.15</v>
      </c>
      <c r="D356" s="2979">
        <v>0.15</v>
      </c>
      <c r="E356" s="2979">
        <v>0.15</v>
      </c>
      <c r="F356" s="2979">
        <v>0.15</v>
      </c>
      <c r="G356" s="2980">
        <v>0.15</v>
      </c>
    </row>
    <row r="357" spans="1:7" ht="14.25" thickBot="1">
      <c r="A357" s="2992" t="s">
        <v>307</v>
      </c>
      <c r="B357" s="2982" t="s">
        <v>2973</v>
      </c>
      <c r="C357" s="2983">
        <v>0.126</v>
      </c>
      <c r="D357" s="2983">
        <v>0.127</v>
      </c>
      <c r="E357" s="2983">
        <v>0.14299999999999999</v>
      </c>
      <c r="F357" s="2983">
        <v>0.125</v>
      </c>
      <c r="G357" s="2985">
        <v>0.129</v>
      </c>
    </row>
    <row r="358" spans="1:7">
      <c r="A358" s="2988" t="s">
        <v>2842</v>
      </c>
      <c r="B358" s="2974" t="s">
        <v>2856</v>
      </c>
      <c r="C358" s="2975">
        <v>0.15</v>
      </c>
      <c r="D358" s="2975">
        <v>0.15</v>
      </c>
      <c r="E358" s="2975">
        <v>0.15</v>
      </c>
      <c r="F358" s="2975">
        <v>0.15</v>
      </c>
      <c r="G358" s="2976">
        <v>0.15</v>
      </c>
    </row>
    <row r="359" spans="1:7">
      <c r="A359" s="2989" t="s">
        <v>2842</v>
      </c>
      <c r="B359" s="2978" t="s">
        <v>2862</v>
      </c>
      <c r="C359" s="2979">
        <v>0.1</v>
      </c>
      <c r="D359" s="2979">
        <v>0.1</v>
      </c>
      <c r="E359" s="2979">
        <v>0.1</v>
      </c>
      <c r="F359" s="2979">
        <v>0.1</v>
      </c>
      <c r="G359" s="2980">
        <v>0.1</v>
      </c>
    </row>
    <row r="360" spans="1:7">
      <c r="A360" s="2989" t="s">
        <v>2842</v>
      </c>
      <c r="B360" s="2978" t="s">
        <v>2868</v>
      </c>
      <c r="C360" s="2979">
        <v>0.15</v>
      </c>
      <c r="D360" s="2979">
        <v>0.15</v>
      </c>
      <c r="E360" s="2979">
        <v>0.15</v>
      </c>
      <c r="F360" s="2979">
        <v>0.14899999999999999</v>
      </c>
      <c r="G360" s="2980">
        <v>0.15</v>
      </c>
    </row>
    <row r="361" spans="1:7">
      <c r="A361" s="2989" t="s">
        <v>2842</v>
      </c>
      <c r="B361" s="2978" t="s">
        <v>153</v>
      </c>
      <c r="C361" s="2979">
        <v>0.15</v>
      </c>
      <c r="D361" s="2979">
        <v>0.15</v>
      </c>
      <c r="E361" s="2979">
        <v>0.15</v>
      </c>
      <c r="F361" s="2979">
        <v>0.115</v>
      </c>
      <c r="G361" s="2980">
        <v>0.15</v>
      </c>
    </row>
    <row r="362" spans="1:7">
      <c r="A362" s="2989" t="s">
        <v>2842</v>
      </c>
      <c r="B362" s="2978" t="s">
        <v>2875</v>
      </c>
      <c r="C362" s="2979">
        <v>0.15</v>
      </c>
      <c r="D362" s="2979">
        <v>0.15</v>
      </c>
      <c r="E362" s="2979">
        <v>0.15</v>
      </c>
      <c r="F362" s="2979">
        <v>0.106</v>
      </c>
      <c r="G362" s="2980">
        <v>0.15</v>
      </c>
    </row>
    <row r="363" spans="1:7">
      <c r="A363" s="2989" t="s">
        <v>2842</v>
      </c>
      <c r="B363" s="2978" t="s">
        <v>2880</v>
      </c>
      <c r="C363" s="2979">
        <v>0.15</v>
      </c>
      <c r="D363" s="2979">
        <v>0.15</v>
      </c>
      <c r="E363" s="2979">
        <v>0.15</v>
      </c>
      <c r="F363" s="2979">
        <v>0.14699999999999999</v>
      </c>
      <c r="G363" s="2980">
        <v>0.15</v>
      </c>
    </row>
    <row r="364" spans="1:7">
      <c r="A364" s="2989" t="s">
        <v>2842</v>
      </c>
      <c r="B364" s="2978" t="s">
        <v>2884</v>
      </c>
      <c r="C364" s="2979">
        <v>0.15</v>
      </c>
      <c r="D364" s="2979">
        <v>0.15</v>
      </c>
      <c r="E364" s="2979">
        <v>0.15</v>
      </c>
      <c r="F364" s="2979">
        <v>0.14799999999999999</v>
      </c>
      <c r="G364" s="2980">
        <v>0.15</v>
      </c>
    </row>
    <row r="365" spans="1:7">
      <c r="A365" s="2989" t="s">
        <v>2842</v>
      </c>
      <c r="B365" s="2978" t="s">
        <v>200</v>
      </c>
      <c r="C365" s="2979">
        <v>0.15</v>
      </c>
      <c r="D365" s="2979">
        <v>0.15</v>
      </c>
      <c r="E365" s="2979">
        <v>0.15</v>
      </c>
      <c r="F365" s="2979">
        <v>0.15</v>
      </c>
      <c r="G365" s="2980">
        <v>0.15</v>
      </c>
    </row>
    <row r="366" spans="1:7">
      <c r="A366" s="2989" t="s">
        <v>2842</v>
      </c>
      <c r="B366" s="2978" t="s">
        <v>2887</v>
      </c>
      <c r="C366" s="2979">
        <v>0.15</v>
      </c>
      <c r="D366" s="2979">
        <v>0.15</v>
      </c>
      <c r="E366" s="2979">
        <v>0.15</v>
      </c>
      <c r="F366" s="2979">
        <v>0.15</v>
      </c>
      <c r="G366" s="2980">
        <v>0.15</v>
      </c>
    </row>
    <row r="367" spans="1:7">
      <c r="A367" s="2989" t="s">
        <v>2842</v>
      </c>
      <c r="B367" s="2978" t="s">
        <v>2890</v>
      </c>
      <c r="C367" s="2979">
        <v>0.15</v>
      </c>
      <c r="D367" s="2979">
        <v>0.15</v>
      </c>
      <c r="E367" s="2979">
        <v>0.15</v>
      </c>
      <c r="F367" s="2979">
        <v>0.14699999999999999</v>
      </c>
      <c r="G367" s="2980">
        <v>0.15</v>
      </c>
    </row>
    <row r="368" spans="1:7">
      <c r="A368" s="2989" t="s">
        <v>2842</v>
      </c>
      <c r="B368" s="2978" t="s">
        <v>2895</v>
      </c>
      <c r="C368" s="2979">
        <v>0.15</v>
      </c>
      <c r="D368" s="2979">
        <v>0.15</v>
      </c>
      <c r="E368" s="2979">
        <v>0.15</v>
      </c>
      <c r="F368" s="2979">
        <v>0.13600000000000001</v>
      </c>
      <c r="G368" s="2980">
        <v>0.15</v>
      </c>
    </row>
    <row r="369" spans="1:7">
      <c r="A369" s="2989" t="s">
        <v>2842</v>
      </c>
      <c r="B369" s="2978" t="s">
        <v>214</v>
      </c>
      <c r="C369" s="2979">
        <v>0.15</v>
      </c>
      <c r="D369" s="2979">
        <v>0.15</v>
      </c>
      <c r="E369" s="2979">
        <v>0.15</v>
      </c>
      <c r="F369" s="2979">
        <v>0.14399999999999999</v>
      </c>
      <c r="G369" s="2980">
        <v>0.15</v>
      </c>
    </row>
    <row r="370" spans="1:7">
      <c r="A370" s="2989" t="s">
        <v>2842</v>
      </c>
      <c r="B370" s="2978" t="s">
        <v>221</v>
      </c>
      <c r="C370" s="2979">
        <v>0.15</v>
      </c>
      <c r="D370" s="2979">
        <v>0.15</v>
      </c>
      <c r="E370" s="2979">
        <v>0.15</v>
      </c>
      <c r="F370" s="2979">
        <v>0.14599999999999999</v>
      </c>
      <c r="G370" s="2980">
        <v>0.15</v>
      </c>
    </row>
    <row r="371" spans="1:7">
      <c r="A371" s="2989" t="s">
        <v>2842</v>
      </c>
      <c r="B371" s="2978" t="s">
        <v>229</v>
      </c>
      <c r="C371" s="2979">
        <v>0.15</v>
      </c>
      <c r="D371" s="2979">
        <v>0.15</v>
      </c>
      <c r="E371" s="2979">
        <v>0.15</v>
      </c>
      <c r="F371" s="2979">
        <v>0.12</v>
      </c>
      <c r="G371" s="2980">
        <v>0.15</v>
      </c>
    </row>
    <row r="372" spans="1:7">
      <c r="A372" s="2989" t="s">
        <v>2842</v>
      </c>
      <c r="B372" s="2978" t="s">
        <v>2903</v>
      </c>
      <c r="C372" s="2979">
        <v>0.15</v>
      </c>
      <c r="D372" s="2979">
        <v>0.15</v>
      </c>
      <c r="E372" s="2979">
        <v>0.15</v>
      </c>
      <c r="F372" s="2979">
        <v>0.14299999999999999</v>
      </c>
      <c r="G372" s="2980">
        <v>0.15</v>
      </c>
    </row>
    <row r="373" spans="1:7">
      <c r="A373" s="2989" t="s">
        <v>2842</v>
      </c>
      <c r="B373" s="2978" t="s">
        <v>258</v>
      </c>
      <c r="C373" s="2979">
        <v>0.15</v>
      </c>
      <c r="D373" s="2979">
        <v>0.15</v>
      </c>
      <c r="E373" s="2979">
        <v>0.15</v>
      </c>
      <c r="F373" s="2979">
        <v>0.14599999999999999</v>
      </c>
      <c r="G373" s="2980">
        <v>0.15</v>
      </c>
    </row>
    <row r="374" spans="1:7">
      <c r="A374" s="2989" t="s">
        <v>2842</v>
      </c>
      <c r="B374" s="2978" t="s">
        <v>266</v>
      </c>
      <c r="C374" s="2979">
        <v>0.15</v>
      </c>
      <c r="D374" s="2979">
        <v>0.15</v>
      </c>
      <c r="E374" s="2979">
        <v>0.15</v>
      </c>
      <c r="F374" s="2979">
        <v>0.14399999999999999</v>
      </c>
      <c r="G374" s="2980">
        <v>0.15</v>
      </c>
    </row>
    <row r="375" spans="1:7">
      <c r="A375" s="2989" t="s">
        <v>2842</v>
      </c>
      <c r="B375" s="2978" t="s">
        <v>2911</v>
      </c>
      <c r="C375" s="2979">
        <v>0.15</v>
      </c>
      <c r="D375" s="2979">
        <v>0.15</v>
      </c>
      <c r="E375" s="2979">
        <v>0.15</v>
      </c>
      <c r="F375" s="2979">
        <v>0.13</v>
      </c>
      <c r="G375" s="2980">
        <v>0.15</v>
      </c>
    </row>
    <row r="376" spans="1:7">
      <c r="A376" s="2989" t="s">
        <v>2842</v>
      </c>
      <c r="B376" s="2978" t="s">
        <v>277</v>
      </c>
      <c r="C376" s="2979">
        <v>0.15</v>
      </c>
      <c r="D376" s="2979">
        <v>0.15</v>
      </c>
      <c r="E376" s="2979">
        <v>0.15</v>
      </c>
      <c r="F376" s="2979">
        <v>0.14199999999999999</v>
      </c>
      <c r="G376" s="2980">
        <v>0.15</v>
      </c>
    </row>
    <row r="377" spans="1:7" ht="14.25" thickBot="1">
      <c r="A377" s="2992" t="s">
        <v>2842</v>
      </c>
      <c r="B377" s="2982" t="s">
        <v>2917</v>
      </c>
      <c r="C377" s="2983">
        <v>0.15</v>
      </c>
      <c r="D377" s="2983">
        <v>0.15</v>
      </c>
      <c r="E377" s="2983">
        <v>0.15</v>
      </c>
      <c r="F377" s="2983">
        <v>0.14000000000000001</v>
      </c>
      <c r="G377" s="2985">
        <v>0.15</v>
      </c>
    </row>
    <row r="378" spans="1:7">
      <c r="A378" s="2988" t="s">
        <v>2843</v>
      </c>
      <c r="B378" s="2974" t="s">
        <v>2857</v>
      </c>
      <c r="C378" s="2975">
        <v>0.15</v>
      </c>
      <c r="D378" s="2975">
        <v>0.15</v>
      </c>
      <c r="E378" s="2975">
        <v>0.15</v>
      </c>
      <c r="F378" s="2975">
        <v>0.107</v>
      </c>
      <c r="G378" s="2976">
        <v>0.15</v>
      </c>
    </row>
    <row r="379" spans="1:7">
      <c r="A379" s="2989" t="s">
        <v>2843</v>
      </c>
      <c r="B379" s="2978" t="s">
        <v>2863</v>
      </c>
      <c r="C379" s="2979">
        <v>0.15</v>
      </c>
      <c r="D379" s="2979">
        <v>0.15</v>
      </c>
      <c r="E379" s="2979">
        <v>0.15</v>
      </c>
      <c r="F379" s="2979">
        <v>0.115</v>
      </c>
      <c r="G379" s="2980">
        <v>0.14899999999999999</v>
      </c>
    </row>
    <row r="380" spans="1:7">
      <c r="A380" s="2989" t="s">
        <v>2843</v>
      </c>
      <c r="B380" s="2978" t="s">
        <v>2869</v>
      </c>
      <c r="C380" s="2979">
        <v>0.15</v>
      </c>
      <c r="D380" s="2979">
        <v>0.15</v>
      </c>
      <c r="E380" s="2979">
        <v>0.15</v>
      </c>
      <c r="F380" s="2979">
        <v>0.1</v>
      </c>
      <c r="G380" s="2980">
        <v>0.14799999999999999</v>
      </c>
    </row>
    <row r="381" spans="1:7">
      <c r="A381" s="2989" t="s">
        <v>2843</v>
      </c>
      <c r="B381" s="2978" t="s">
        <v>2872</v>
      </c>
      <c r="C381" s="2979">
        <v>0.15</v>
      </c>
      <c r="D381" s="2979">
        <v>0.15</v>
      </c>
      <c r="E381" s="2979">
        <v>0.15</v>
      </c>
      <c r="F381" s="2979">
        <v>0.126</v>
      </c>
      <c r="G381" s="2980">
        <v>0.15</v>
      </c>
    </row>
    <row r="382" spans="1:7">
      <c r="A382" s="2989" t="s">
        <v>2843</v>
      </c>
      <c r="B382" s="2978" t="s">
        <v>2876</v>
      </c>
      <c r="C382" s="2979">
        <v>0.15</v>
      </c>
      <c r="D382" s="2979">
        <v>0.15</v>
      </c>
      <c r="E382" s="2979">
        <v>0.15</v>
      </c>
      <c r="F382" s="2979">
        <v>0.15</v>
      </c>
      <c r="G382" s="2980">
        <v>0.15</v>
      </c>
    </row>
    <row r="383" spans="1:7">
      <c r="A383" s="2989" t="s">
        <v>2843</v>
      </c>
      <c r="B383" s="2978" t="s">
        <v>2881</v>
      </c>
      <c r="C383" s="2979">
        <v>0.15</v>
      </c>
      <c r="D383" s="2979">
        <v>0.15</v>
      </c>
      <c r="E383" s="2979">
        <v>0.15</v>
      </c>
      <c r="F383" s="2979">
        <v>0.14699999999999999</v>
      </c>
      <c r="G383" s="2980">
        <v>0.15</v>
      </c>
    </row>
    <row r="384" spans="1:7" ht="14.25" thickBot="1">
      <c r="A384" s="2999" t="s">
        <v>2843</v>
      </c>
      <c r="B384" s="3000" t="s">
        <v>2885</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67" t="s">
        <v>3224</v>
      </c>
      <c r="B1" s="3467"/>
      <c r="C1" s="3467"/>
      <c r="D1" s="3467"/>
      <c r="E1" s="3467"/>
      <c r="F1" s="3468"/>
    </row>
    <row r="2" spans="1:6">
      <c r="A2" s="3003" t="s">
        <v>3225</v>
      </c>
    </row>
    <row r="3" spans="1:6">
      <c r="A3" s="3003" t="s">
        <v>3226</v>
      </c>
      <c r="F3" s="3004" t="s">
        <v>3227</v>
      </c>
    </row>
    <row r="4" spans="1:6">
      <c r="A4" s="3005" t="s">
        <v>672</v>
      </c>
      <c r="B4" s="3005" t="s">
        <v>673</v>
      </c>
      <c r="C4" s="3005" t="s">
        <v>21</v>
      </c>
      <c r="D4" s="3005" t="s">
        <v>674</v>
      </c>
      <c r="E4" s="3005" t="s">
        <v>3</v>
      </c>
      <c r="F4" s="3005" t="s">
        <v>3228</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H14" sqref="H14"/>
    </sheetView>
  </sheetViews>
  <sheetFormatPr defaultRowHeight="13.5"/>
  <cols>
    <col min="1" max="1" width="13.875" customWidth="1"/>
    <col min="11" max="17" width="0" hidden="1" customWidth="1"/>
    <col min="25" max="30" width="0" hidden="1" customWidth="1"/>
  </cols>
  <sheetData>
    <row r="1" spans="1:30">
      <c r="A1" s="2938">
        <f>基准地价修正!G23</f>
        <v>45629</v>
      </c>
      <c r="B1" s="2930" t="s">
        <v>3373</v>
      </c>
      <c r="C1" s="2931"/>
      <c r="D1" s="2931"/>
      <c r="E1" s="2931"/>
      <c r="F1" s="2931"/>
      <c r="G1" s="2931"/>
      <c r="H1" s="2931"/>
      <c r="I1" s="2931"/>
      <c r="J1" s="2897"/>
      <c r="K1" s="2931" t="s">
        <v>454</v>
      </c>
      <c r="L1" s="2931"/>
      <c r="M1" s="2931"/>
      <c r="N1" s="2931"/>
      <c r="O1" s="2931"/>
      <c r="P1" s="2931"/>
      <c r="Q1" s="2897"/>
      <c r="R1" s="3469" t="s">
        <v>456</v>
      </c>
      <c r="S1" s="3470"/>
      <c r="T1" s="3470"/>
      <c r="U1" s="3470"/>
      <c r="V1" s="3470"/>
      <c r="W1" s="3470"/>
      <c r="X1" s="2897"/>
      <c r="Y1" s="3469" t="s">
        <v>457</v>
      </c>
      <c r="Z1" s="3470"/>
      <c r="AA1" s="3470"/>
      <c r="AB1" s="3470"/>
      <c r="AC1" s="3470"/>
      <c r="AD1" s="3470"/>
    </row>
    <row r="2" spans="1:30" s="2010" customFormat="1" ht="14.25" thickBot="1">
      <c r="B2" s="2882"/>
      <c r="C2" s="2883"/>
      <c r="D2" s="2011" t="s">
        <v>2802</v>
      </c>
      <c r="E2" s="2012" t="s">
        <v>2803</v>
      </c>
      <c r="F2" s="2012" t="s">
        <v>2804</v>
      </c>
      <c r="G2" s="2012" t="s">
        <v>2805</v>
      </c>
      <c r="H2" s="2012" t="s">
        <v>2806</v>
      </c>
      <c r="I2" s="2012" t="s">
        <v>2623</v>
      </c>
      <c r="J2" s="2884"/>
      <c r="K2" s="2011" t="s">
        <v>2802</v>
      </c>
      <c r="L2" s="2012" t="s">
        <v>2803</v>
      </c>
      <c r="M2" s="2012" t="s">
        <v>2804</v>
      </c>
      <c r="N2" s="2012" t="s">
        <v>2805</v>
      </c>
      <c r="O2" s="2012" t="s">
        <v>2807</v>
      </c>
      <c r="P2" s="2012" t="s">
        <v>2623</v>
      </c>
      <c r="Q2" s="2884"/>
      <c r="R2" s="2011" t="s">
        <v>2802</v>
      </c>
      <c r="S2" s="2012" t="s">
        <v>2803</v>
      </c>
      <c r="T2" s="2012" t="s">
        <v>2804</v>
      </c>
      <c r="U2" s="2012" t="s">
        <v>2808</v>
      </c>
      <c r="V2" s="2012" t="s">
        <v>2809</v>
      </c>
      <c r="W2" s="2012" t="s">
        <v>2623</v>
      </c>
      <c r="X2" s="2884"/>
      <c r="Y2" s="2011" t="s">
        <v>2802</v>
      </c>
      <c r="Z2" s="2012" t="s">
        <v>2803</v>
      </c>
      <c r="AA2" s="2012" t="s">
        <v>2804</v>
      </c>
      <c r="AB2" s="2012" t="s">
        <v>2810</v>
      </c>
      <c r="AC2" s="2012" t="s">
        <v>2809</v>
      </c>
      <c r="AD2" s="2012" t="s">
        <v>2623</v>
      </c>
    </row>
    <row r="3" spans="1:30" s="2887" customFormat="1" ht="12.75">
      <c r="A3" s="2885" t="s">
        <v>2811</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3369</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3378</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3377</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3370</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2812</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2813</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2814</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2815</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2816</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3376</v>
      </c>
    </row>
    <row r="24" spans="1:30">
      <c r="I24" s="1405" t="s">
        <v>2817</v>
      </c>
    </row>
    <row r="26" spans="1:30" s="2009" customFormat="1" ht="12.75">
      <c r="B26" s="2930" t="s">
        <v>3374</v>
      </c>
      <c r="C26" s="2931"/>
      <c r="D26" s="2931"/>
      <c r="E26" s="2931"/>
      <c r="F26" s="2931"/>
      <c r="G26" s="2931"/>
      <c r="H26" s="2931"/>
      <c r="I26" s="2931"/>
      <c r="J26" s="2897"/>
      <c r="K26" s="2931" t="s">
        <v>2818</v>
      </c>
      <c r="L26" s="2931"/>
      <c r="M26" s="2931"/>
      <c r="N26" s="2931"/>
      <c r="O26" s="2931"/>
      <c r="P26" s="2931"/>
      <c r="Q26" s="2897"/>
      <c r="R26" s="3469" t="s">
        <v>2819</v>
      </c>
      <c r="S26" s="3470"/>
      <c r="T26" s="3470"/>
      <c r="U26" s="3470"/>
      <c r="V26" s="3470"/>
      <c r="W26" s="3470"/>
      <c r="X26" s="2897"/>
      <c r="Y26" s="3469" t="s">
        <v>2820</v>
      </c>
      <c r="Z26" s="3470"/>
      <c r="AA26" s="3470"/>
      <c r="AB26" s="3470"/>
      <c r="AC26" s="3470"/>
      <c r="AD26" s="3470"/>
    </row>
    <row r="27" spans="1:30" s="2010" customFormat="1" ht="14.25" thickBot="1">
      <c r="B27" s="2882"/>
      <c r="C27" s="2883"/>
      <c r="D27" s="2011" t="s">
        <v>2821</v>
      </c>
      <c r="E27" s="2012" t="s">
        <v>2822</v>
      </c>
      <c r="F27" s="2012" t="s">
        <v>2823</v>
      </c>
      <c r="G27" s="2012" t="s">
        <v>2824</v>
      </c>
      <c r="H27" s="2012"/>
      <c r="I27" s="2012" t="s">
        <v>2825</v>
      </c>
      <c r="J27" s="2884"/>
      <c r="K27" s="2011" t="s">
        <v>2821</v>
      </c>
      <c r="L27" s="2012" t="s">
        <v>2822</v>
      </c>
      <c r="M27" s="2012" t="s">
        <v>2823</v>
      </c>
      <c r="N27" s="2012" t="s">
        <v>2824</v>
      </c>
      <c r="O27" s="2012"/>
      <c r="P27" s="2012" t="s">
        <v>2825</v>
      </c>
      <c r="Q27" s="2884"/>
      <c r="R27" s="2011" t="s">
        <v>2821</v>
      </c>
      <c r="S27" s="2012" t="s">
        <v>2822</v>
      </c>
      <c r="T27" s="2012" t="s">
        <v>2823</v>
      </c>
      <c r="U27" s="2012" t="s">
        <v>2824</v>
      </c>
      <c r="V27" s="2012"/>
      <c r="W27" s="2012" t="s">
        <v>2825</v>
      </c>
      <c r="X27" s="2884"/>
      <c r="Y27" s="2011" t="s">
        <v>2821</v>
      </c>
      <c r="Z27" s="2012" t="s">
        <v>2822</v>
      </c>
      <c r="AA27" s="2012" t="s">
        <v>2823</v>
      </c>
      <c r="AB27" s="2012" t="s">
        <v>2824</v>
      </c>
      <c r="AC27" s="2012"/>
      <c r="AD27" s="2012" t="s">
        <v>2825</v>
      </c>
    </row>
    <row r="28" spans="1:30" s="2887" customFormat="1" ht="12.75">
      <c r="A28" s="2885" t="s">
        <v>2826</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3369</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3371</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3364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3372</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2827</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2828</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2829</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2830</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2816</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H14" sqref="H14"/>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4" t="s">
        <v>452</v>
      </c>
      <c r="C1" s="3474"/>
      <c r="D1" s="3474"/>
      <c r="E1" s="3474"/>
      <c r="F1" s="3474"/>
      <c r="G1" s="3470" t="s">
        <v>453</v>
      </c>
      <c r="H1" s="3470"/>
      <c r="I1" s="3470"/>
      <c r="J1" s="3470"/>
      <c r="K1" s="3470"/>
      <c r="L1" s="3470"/>
      <c r="N1" s="3470" t="s">
        <v>454</v>
      </c>
      <c r="O1" s="3470"/>
      <c r="P1" s="3470"/>
      <c r="Q1" s="3470"/>
      <c r="S1" s="3470" t="s">
        <v>455</v>
      </c>
      <c r="T1" s="3470"/>
      <c r="U1" s="3470"/>
      <c r="V1" s="3470"/>
      <c r="X1" s="3469" t="s">
        <v>456</v>
      </c>
      <c r="Y1" s="3470"/>
      <c r="Z1" s="3470"/>
      <c r="AA1" s="3470"/>
      <c r="AB1" s="3470"/>
      <c r="AD1" s="3469" t="s">
        <v>457</v>
      </c>
      <c r="AE1" s="3470"/>
      <c r="AF1" s="3470"/>
      <c r="AG1" s="3470"/>
      <c r="AH1" s="347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7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7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45629</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2301</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3" t="str">
        <f>IF(项目基本情况!B9="房地产市场价值","估价结果一览表","结果表-2")</f>
        <v>结果表-2</v>
      </c>
      <c r="B1" s="3163"/>
      <c r="C1" s="3163"/>
      <c r="D1" s="3163"/>
      <c r="E1" s="3163"/>
      <c r="F1" s="3163"/>
      <c r="G1" s="3163"/>
      <c r="H1" s="3163"/>
      <c r="I1" s="3163"/>
    </row>
    <row r="2" spans="1:9" ht="30" customHeight="1" thickTop="1">
      <c r="A2" s="3164" t="s">
        <v>928</v>
      </c>
      <c r="B2" s="3164" t="s">
        <v>929</v>
      </c>
      <c r="C2" s="3164" t="s">
        <v>930</v>
      </c>
      <c r="D2" s="3164" t="str">
        <f>结果表!D116</f>
        <v>出让国有建设用地使用权价值</v>
      </c>
      <c r="E2" s="3164"/>
      <c r="F2" s="3164" t="str">
        <f>结果表!F116</f>
        <v>在建建筑物价值</v>
      </c>
      <c r="G2" s="3164"/>
      <c r="H2" s="3164" t="str">
        <f>IF(项目基本情况!B9="房地产市场价值","房地产市场价值","房地产价值")</f>
        <v>房地产价值</v>
      </c>
      <c r="I2" s="3164"/>
    </row>
    <row r="3" spans="1:9" ht="15">
      <c r="A3" s="3159"/>
      <c r="B3" s="3159"/>
      <c r="C3" s="3159"/>
      <c r="D3" s="801" t="s">
        <v>925</v>
      </c>
      <c r="E3" s="801" t="s">
        <v>931</v>
      </c>
      <c r="F3" s="801" t="s">
        <v>925</v>
      </c>
      <c r="G3" s="801" t="s">
        <v>926</v>
      </c>
      <c r="H3" s="801" t="s">
        <v>925</v>
      </c>
      <c r="I3" s="801" t="s">
        <v>926</v>
      </c>
    </row>
    <row r="4" spans="1:9" ht="15">
      <c r="A4" s="1403" t="str">
        <f>项目基本情况!S2</f>
        <v>北京市房地产</v>
      </c>
      <c r="B4" s="801">
        <f>项目基本情况!C17</f>
        <v>3905.76</v>
      </c>
      <c r="C4" s="801">
        <f>项目基本情况!C18</f>
        <v>2386.36</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59" t="s">
        <v>927</v>
      </c>
      <c r="B5" s="3159"/>
      <c r="C5" s="3159"/>
      <c r="D5" s="3159" t="e">
        <f ca="1">结果表!D119</f>
        <v>#REF!</v>
      </c>
      <c r="E5" s="3159"/>
      <c r="F5" s="3159" t="e">
        <f ca="1">结果表!F119</f>
        <v>#REF!</v>
      </c>
      <c r="G5" s="3159"/>
      <c r="H5" s="3159" t="e">
        <f ca="1">结果表!H119</f>
        <v>#REF!</v>
      </c>
      <c r="I5" s="3159"/>
    </row>
    <row r="6" spans="1:9" ht="15.75">
      <c r="A6" s="3158" t="str">
        <f>结果表!A120</f>
        <v>估价师知悉的法定优先受偿款</v>
      </c>
      <c r="B6" s="3158"/>
      <c r="C6" s="3158"/>
      <c r="D6" s="3158">
        <f>结果表!D120</f>
        <v>0</v>
      </c>
      <c r="E6" s="3158"/>
      <c r="F6" s="3158"/>
      <c r="G6" s="3158"/>
      <c r="H6" s="3158"/>
      <c r="I6" s="3158"/>
    </row>
    <row r="7" spans="1:9" ht="15">
      <c r="A7" s="3159" t="s">
        <v>927</v>
      </c>
      <c r="B7" s="3159"/>
      <c r="C7" s="3159"/>
      <c r="D7" s="3160" t="str">
        <f>结果表!D121</f>
        <v>零元整</v>
      </c>
      <c r="E7" s="3161"/>
      <c r="F7" s="3161"/>
      <c r="G7" s="3161"/>
      <c r="H7" s="3161"/>
      <c r="I7" s="3162"/>
    </row>
    <row r="8" spans="1:9" ht="15.75">
      <c r="A8" s="3158" t="str">
        <f>结果表!A122</f>
        <v>房地产抵押价值</v>
      </c>
      <c r="B8" s="3158"/>
      <c r="C8" s="3158"/>
      <c r="D8" s="3158" t="e">
        <f ca="1">结果表!D122</f>
        <v>#REF!</v>
      </c>
      <c r="E8" s="3158"/>
      <c r="F8" s="3158"/>
      <c r="G8" s="3158"/>
      <c r="H8" s="3158"/>
      <c r="I8" s="3158"/>
    </row>
    <row r="9" spans="1:9" ht="15">
      <c r="A9" s="3159" t="s">
        <v>927</v>
      </c>
      <c r="B9" s="3159"/>
      <c r="C9" s="3159"/>
      <c r="D9" s="3159" t="e">
        <f ca="1">结果表!D123</f>
        <v>#REF!</v>
      </c>
      <c r="E9" s="3159"/>
      <c r="F9" s="3159"/>
      <c r="G9" s="3159"/>
      <c r="H9" s="3159"/>
      <c r="I9" s="3159"/>
    </row>
    <row r="10" spans="1:9" ht="15.75">
      <c r="A10" s="3158" t="str">
        <f>结果表!A124</f>
        <v/>
      </c>
      <c r="B10" s="3158"/>
      <c r="C10" s="3158"/>
      <c r="D10" s="3158" t="str">
        <f>结果表!D124</f>
        <v>——</v>
      </c>
      <c r="E10" s="3158"/>
      <c r="F10" s="3158"/>
      <c r="G10" s="3158"/>
      <c r="H10" s="3158"/>
      <c r="I10" s="3158"/>
    </row>
    <row r="11" spans="1:9" ht="15">
      <c r="A11" s="3159" t="s">
        <v>927</v>
      </c>
      <c r="B11" s="3159"/>
      <c r="C11" s="3159"/>
      <c r="D11" s="3159" t="e">
        <f>结果表!D125</f>
        <v>#VALUE!</v>
      </c>
      <c r="E11" s="3159"/>
      <c r="F11" s="3159"/>
      <c r="G11" s="3159"/>
      <c r="H11" s="3159"/>
      <c r="I11" s="3159"/>
    </row>
    <row r="12" spans="1:9" ht="15.75">
      <c r="A12" s="3158" t="str">
        <f>结果表!A126</f>
        <v/>
      </c>
      <c r="B12" s="3158"/>
      <c r="C12" s="3158"/>
      <c r="D12" s="3158" t="str">
        <f>结果表!D126</f>
        <v>——</v>
      </c>
      <c r="E12" s="3158"/>
      <c r="F12" s="3158"/>
      <c r="G12" s="3158"/>
      <c r="H12" s="3158"/>
      <c r="I12" s="3158"/>
    </row>
    <row r="13" spans="1:9" ht="15.75" thickBot="1">
      <c r="A13" s="3156" t="s">
        <v>927</v>
      </c>
      <c r="B13" s="3156"/>
      <c r="C13" s="3156"/>
      <c r="D13" s="3156" t="e">
        <f>结果表!D127</f>
        <v>#VALUE!</v>
      </c>
      <c r="E13" s="3156"/>
      <c r="F13" s="3156"/>
      <c r="G13" s="3156"/>
      <c r="H13" s="3156"/>
      <c r="I13" s="3156"/>
    </row>
    <row r="14" spans="1:9" ht="15" thickTop="1">
      <c r="A14" s="3157" t="s">
        <v>932</v>
      </c>
      <c r="B14" s="3157"/>
      <c r="C14" s="3157"/>
      <c r="D14" s="3157"/>
      <c r="E14" s="3157"/>
      <c r="F14" s="3157"/>
      <c r="G14" s="3157"/>
      <c r="H14" s="3157"/>
      <c r="I14" s="315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1" t="s">
        <v>949</v>
      </c>
      <c r="B1" s="3171"/>
      <c r="C1" s="3171"/>
      <c r="D1" s="3171"/>
    </row>
    <row r="2" spans="1:4" ht="18">
      <c r="A2" s="3172" t="s">
        <v>933</v>
      </c>
      <c r="B2" s="3172"/>
      <c r="C2" s="3172"/>
      <c r="D2" s="317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2" t="s">
        <v>939</v>
      </c>
      <c r="B6" s="3172"/>
      <c r="C6" s="3172"/>
      <c r="D6" s="317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3" t="s">
        <v>942</v>
      </c>
      <c r="B11" s="3165"/>
      <c r="C11" s="3165"/>
      <c r="D11" s="3165"/>
    </row>
    <row r="12" spans="1:4" ht="15.75">
      <c r="A12" s="31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0"/>
      <c r="C12" s="3170"/>
      <c r="D12" s="3170"/>
    </row>
    <row r="13" spans="1:4" ht="30" customHeight="1">
      <c r="A13" s="31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0"/>
      <c r="C13" s="3170"/>
      <c r="D13" s="3170"/>
    </row>
    <row r="14" spans="1:4" ht="15.75" customHeight="1">
      <c r="A14" s="3165" t="str">
        <f>IF(项目基本情况!B8="抵押","4.本次评估估价师所知悉的法定优先受偿款情况说明如下：","——")</f>
        <v>4.本次评估估价师所知悉的法定优先受偿款情况说明如下：</v>
      </c>
      <c r="B14" s="3170"/>
      <c r="C14" s="3170"/>
      <c r="D14" s="3170"/>
    </row>
    <row r="15" spans="1:4" ht="42" customHeight="1">
      <c r="A15" s="31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5"/>
      <c r="C15" s="3165"/>
      <c r="D15" s="3165"/>
    </row>
    <row r="16" spans="1:4" ht="30" customHeight="1">
      <c r="A16" s="3167" t="s">
        <v>943</v>
      </c>
      <c r="B16" s="3167"/>
      <c r="C16" s="3167"/>
      <c r="D16" s="3167"/>
    </row>
    <row r="17" spans="1:4" ht="144" customHeight="1">
      <c r="A17" s="3167" t="s">
        <v>944</v>
      </c>
      <c r="B17" s="3167"/>
      <c r="C17" s="3167"/>
      <c r="D17" s="3167"/>
    </row>
    <row r="18" spans="1:4" ht="15.75" customHeight="1">
      <c r="A18" s="3165" t="str">
        <f>IF(项目基本情况!B8="抵押",结果表!K120,"——")</f>
        <v>故，本次评估不存在估价师知悉的法定优先受偿款</v>
      </c>
      <c r="B18" s="3165"/>
      <c r="C18" s="3165"/>
      <c r="D18" s="3165"/>
    </row>
    <row r="19" spans="1:4" ht="46.5" customHeight="1">
      <c r="A19" s="31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5"/>
      <c r="C19" s="3165"/>
      <c r="D19" s="3165"/>
    </row>
    <row r="20" spans="1:4" ht="57.75" customHeight="1">
      <c r="A20" s="31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5"/>
      <c r="C20" s="3165"/>
      <c r="D20" s="3165"/>
    </row>
    <row r="21" spans="1:4" ht="57.75" customHeight="1">
      <c r="A21" s="31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8"/>
      <c r="C21" s="3168"/>
      <c r="D21" s="3168"/>
    </row>
    <row r="22" spans="1:4" ht="18.75" customHeight="1">
      <c r="A22" s="3169" t="s">
        <v>945</v>
      </c>
      <c r="B22" s="3169"/>
      <c r="C22" s="3169"/>
      <c r="D22" s="316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66">
        <v>42551</v>
      </c>
      <c r="D31" s="31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79" t="s">
        <v>956</v>
      </c>
      <c r="B15" s="3174" t="s">
        <v>109</v>
      </c>
      <c r="C15" s="3175"/>
    </row>
    <row r="16" spans="1:7" ht="13.5">
      <c r="A16" s="3180"/>
      <c r="B16" s="3174" t="s">
        <v>42</v>
      </c>
      <c r="C16" s="3175"/>
    </row>
    <row r="17" spans="1:3" ht="13.5">
      <c r="A17" s="3180"/>
      <c r="B17" s="3177" t="s">
        <v>957</v>
      </c>
      <c r="C17" s="1429" t="s">
        <v>956</v>
      </c>
    </row>
    <row r="18" spans="1:3" ht="13.5">
      <c r="A18" s="3180"/>
      <c r="B18" s="3177"/>
      <c r="C18" s="1429" t="s">
        <v>958</v>
      </c>
    </row>
    <row r="19" spans="1:3" ht="13.5">
      <c r="A19" s="3180"/>
      <c r="B19" s="3177"/>
      <c r="C19" s="1429" t="s">
        <v>959</v>
      </c>
    </row>
    <row r="20" spans="1:3" ht="13.5">
      <c r="A20" s="3181"/>
      <c r="B20" s="3176" t="s">
        <v>960</v>
      </c>
      <c r="C20" s="3175"/>
    </row>
    <row r="21" spans="1:3" ht="13.5">
      <c r="A21" s="1430" t="s">
        <v>961</v>
      </c>
      <c r="B21" s="1431"/>
      <c r="C21" s="1432"/>
    </row>
    <row r="22" spans="1:3" ht="13.5">
      <c r="A22" s="3178" t="s">
        <v>962</v>
      </c>
      <c r="B22" s="3176" t="s">
        <v>963</v>
      </c>
      <c r="C22" s="3175"/>
    </row>
    <row r="23" spans="1:3" ht="13.5">
      <c r="A23" s="3178"/>
      <c r="B23" s="3176" t="s">
        <v>964</v>
      </c>
      <c r="C23" s="3175"/>
    </row>
    <row r="24" spans="1:3" ht="13.5">
      <c r="A24" s="3178"/>
      <c r="B24" s="3176" t="s">
        <v>965</v>
      </c>
      <c r="C24" s="3175"/>
    </row>
    <row r="25" spans="1:3" ht="13.5">
      <c r="A25" s="3178"/>
      <c r="B25" s="3177" t="s">
        <v>966</v>
      </c>
      <c r="C25" s="1429" t="s">
        <v>967</v>
      </c>
    </row>
    <row r="26" spans="1:3" ht="13.5">
      <c r="A26" s="3178"/>
      <c r="B26" s="3177"/>
      <c r="C26" s="1429" t="s">
        <v>968</v>
      </c>
    </row>
    <row r="27" spans="1:3" ht="13.5">
      <c r="A27" s="3178"/>
      <c r="B27" s="3177"/>
      <c r="C27" s="1429" t="s">
        <v>969</v>
      </c>
    </row>
    <row r="28" spans="1:3" ht="13.5">
      <c r="A28" s="3178"/>
      <c r="B28" s="3177"/>
      <c r="C28" s="1429" t="s">
        <v>970</v>
      </c>
    </row>
    <row r="29" spans="1:3" ht="13.5">
      <c r="A29" s="3178"/>
      <c r="B29" s="3177"/>
      <c r="C29" s="1429" t="s">
        <v>971</v>
      </c>
    </row>
    <row r="30" spans="1:3" ht="13.5">
      <c r="A30" s="3178"/>
      <c r="B30" s="3177"/>
      <c r="C30" s="1429" t="s">
        <v>972</v>
      </c>
    </row>
    <row r="31" spans="1:3" ht="13.5">
      <c r="A31" s="3178"/>
      <c r="B31" s="3177"/>
      <c r="C31" s="1429" t="s">
        <v>973</v>
      </c>
    </row>
    <row r="32" spans="1:3" ht="13.5">
      <c r="A32" s="3178"/>
      <c r="B32" s="3177"/>
      <c r="C32" s="1429" t="s">
        <v>974</v>
      </c>
    </row>
    <row r="33" spans="1:3" ht="13.5">
      <c r="A33" s="3178"/>
      <c r="B33" s="317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45629</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2429</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2" t="s">
        <v>2159</v>
      </c>
      <c r="B17" s="3182"/>
      <c r="C17" s="3182"/>
      <c r="D17" s="3182"/>
      <c r="E17" s="3182"/>
      <c r="F17" s="3182"/>
      <c r="G17" s="3182"/>
      <c r="H17" s="3182"/>
    </row>
    <row r="18" spans="1:8" ht="24" customHeight="1">
      <c r="A18" s="3183" t="s">
        <v>2160</v>
      </c>
      <c r="B18" s="3183"/>
      <c r="C18" s="3183"/>
      <c r="D18" s="2160"/>
      <c r="E18" s="3184" t="s">
        <v>2161</v>
      </c>
      <c r="F18" s="3183"/>
      <c r="G18" s="3183"/>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面积</vt:lpstr>
      <vt:lpstr>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2024-12-03T06:52:05Z</dcterms:modified>
</cp:coreProperties>
</file>