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信息" sheetId="80" r:id="rId19"/>
    <sheet name="典型户型修正" sheetId="31" r:id="rId20"/>
    <sheet name="成本法" sheetId="68" r:id="rId21"/>
    <sheet name="假设开发法" sheetId="12" state="hidden" r:id="rId22"/>
    <sheet name="收益法" sheetId="15" r:id="rId23"/>
    <sheet name="比较法-商业" sheetId="33" state="hidden" r:id="rId24"/>
    <sheet name="成本法 (元)" sheetId="69"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80" l="1"/>
  <c r="F34" i="80"/>
  <c r="F35" i="80"/>
  <c r="F37" i="80"/>
  <c r="F38" i="80"/>
  <c r="F33" i="80"/>
  <c r="F19" i="6"/>
  <c r="I14" i="3"/>
  <c r="I15" i="3"/>
  <c r="I18" i="3"/>
  <c r="E10" i="80"/>
  <c r="E4" i="31"/>
  <c r="F4" i="31"/>
  <c r="G4" i="31"/>
  <c r="H4" i="31" s="1"/>
  <c r="D4" i="31"/>
  <c r="F39" i="80" l="1"/>
  <c r="D39" i="80"/>
  <c r="D37" i="80"/>
  <c r="D38" i="80"/>
  <c r="D36" i="80"/>
  <c r="D34" i="80"/>
  <c r="D35" i="80"/>
  <c r="D33" i="80"/>
  <c r="B28" i="31"/>
  <c r="B24" i="31"/>
  <c r="B27" i="31"/>
  <c r="C14" i="3"/>
  <c r="C15" i="3"/>
  <c r="C16" i="3"/>
  <c r="C17" i="3"/>
  <c r="C18" i="3"/>
  <c r="C13" i="3"/>
  <c r="D10" i="80"/>
  <c r="I91" i="9" l="1"/>
  <c r="C88" i="9"/>
  <c r="L14" i="1" l="1"/>
  <c r="G22" i="4" l="1"/>
  <c r="E104" i="33" l="1"/>
  <c r="F104" i="33"/>
  <c r="G104" i="33"/>
  <c r="D104" i="33"/>
  <c r="J52" i="67" l="1"/>
  <c r="G89" i="33"/>
  <c r="E89" i="33"/>
  <c r="F89" i="33"/>
  <c r="D89" i="33"/>
  <c r="O19" i="1"/>
  <c r="N19" i="1"/>
  <c r="N17" i="1"/>
  <c r="J49" i="67" s="1"/>
  <c r="G23" i="4"/>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6" i="31" s="1"/>
  <c r="B2" i="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L29" i="3" s="1"/>
  <c r="AZ29" i="3" s="1"/>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L27" i="3" s="1"/>
  <c r="AZ27" i="3" s="1"/>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s="1"/>
  <c r="H26" i="3"/>
  <c r="BT25" i="3"/>
  <c r="BS25" i="3"/>
  <c r="BR25" i="3"/>
  <c r="BL25" i="3" s="1"/>
  <c r="AZ25" i="3" s="1"/>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L24" i="3" s="1"/>
  <c r="AZ24" i="3" s="1"/>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s="1"/>
  <c r="H23" i="3"/>
  <c r="BT22" i="3"/>
  <c r="BS22" i="3"/>
  <c r="BR22" i="3"/>
  <c r="BL22" i="3" s="1"/>
  <c r="AZ22" i="3" s="1"/>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L21" i="3" s="1"/>
  <c r="AZ21" i="3" s="1"/>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R62" i="31"/>
  <c r="S62" i="31" s="1"/>
  <c r="R63" i="31"/>
  <c r="R64" i="31"/>
  <c r="S64" i="31" s="1"/>
  <c r="R65" i="31"/>
  <c r="S65" i="31" s="1"/>
  <c r="R66" i="31"/>
  <c r="S66" i="31" s="1"/>
  <c r="R67" i="31"/>
  <c r="R68" i="31"/>
  <c r="S68" i="31" s="1"/>
  <c r="R69" i="31"/>
  <c r="R70" i="31"/>
  <c r="S70" i="31" s="1"/>
  <c r="R71" i="31"/>
  <c r="R72" i="31"/>
  <c r="S72" i="31" s="1"/>
  <c r="R73" i="31"/>
  <c r="S73" i="31" s="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0" i="31"/>
  <c r="E114" i="31"/>
  <c r="E178" i="31"/>
  <c r="E242" i="31"/>
  <c r="E306" i="31"/>
  <c r="E346" i="31"/>
  <c r="E371" i="31"/>
  <c r="E387" i="31"/>
  <c r="E403" i="31"/>
  <c r="E419" i="31"/>
  <c r="E435" i="31"/>
  <c r="E451" i="31"/>
  <c r="E467" i="31"/>
  <c r="E483" i="31"/>
  <c r="E499" i="31"/>
  <c r="E515" i="31"/>
  <c r="P23" i="31"/>
  <c r="N23" i="31"/>
  <c r="L23" i="31"/>
  <c r="J23" i="31"/>
  <c r="H23" i="31"/>
  <c r="F23" i="31"/>
  <c r="Q25" i="31"/>
  <c r="O25" i="31"/>
  <c r="M25" i="31"/>
  <c r="K25" i="31"/>
  <c r="G25" i="31"/>
  <c r="S249" i="31"/>
  <c r="S233" i="31"/>
  <c r="S425" i="31"/>
  <c r="S209" i="31"/>
  <c r="S193" i="31"/>
  <c r="S177" i="31"/>
  <c r="S161" i="31"/>
  <c r="S145" i="31"/>
  <c r="S129" i="31"/>
  <c r="S489" i="31"/>
  <c r="S473" i="31"/>
  <c r="S433" i="31"/>
  <c r="S119" i="31"/>
  <c r="S115" i="31"/>
  <c r="S457" i="31"/>
  <c r="S45" i="31"/>
  <c r="S77" i="31"/>
  <c r="S75" i="31"/>
  <c r="S71" i="31"/>
  <c r="S69" i="31"/>
  <c r="S67" i="31"/>
  <c r="S63" i="31"/>
  <c r="S61" i="31"/>
  <c r="S59" i="31"/>
  <c r="S55" i="31"/>
  <c r="S97" i="31"/>
  <c r="S95" i="31"/>
  <c r="S91" i="31"/>
  <c r="S89" i="31"/>
  <c r="S87" i="31"/>
  <c r="S83" i="31"/>
  <c r="S81" i="31"/>
  <c r="S79" i="31"/>
  <c r="S109" i="31"/>
  <c r="S507" i="31"/>
  <c r="S509"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67"/>
  <c r="F7" i="73"/>
  <c r="D7" i="73"/>
  <c r="B8" i="76"/>
  <c r="F4" i="73"/>
  <c r="F6" i="73"/>
  <c r="D4" i="73"/>
  <c r="M22" i="67"/>
  <c r="F42" i="67"/>
  <c r="B12" i="76"/>
  <c r="M9" i="67"/>
  <c r="M28" i="67"/>
  <c r="E13" i="76"/>
  <c r="E10" i="76"/>
  <c r="F8" i="67"/>
  <c r="E2" i="69"/>
  <c r="E9" i="76"/>
  <c r="F13" i="67"/>
  <c r="F16" i="67"/>
  <c r="M6" i="67"/>
  <c r="E12" i="76"/>
  <c r="F5" i="73"/>
  <c r="M8" i="67"/>
  <c r="F38" i="67"/>
  <c r="F26" i="67"/>
  <c r="M23" i="67"/>
  <c r="M24" i="67"/>
  <c r="B11" i="76"/>
  <c r="F20" i="31"/>
  <c r="E7" i="76"/>
  <c r="M26" i="67"/>
  <c r="C76" i="67"/>
  <c r="E11" i="76"/>
  <c r="F9" i="67"/>
  <c r="B13" i="76"/>
  <c r="D3" i="73"/>
  <c r="E8" i="76"/>
  <c r="L47" i="67"/>
  <c r="J15" i="67"/>
  <c r="B9" i="76"/>
  <c r="F6" i="67"/>
  <c r="B7" i="76"/>
  <c r="D5" i="73"/>
  <c r="D6" i="73"/>
  <c r="F3" i="73"/>
  <c r="AO13" i="1"/>
  <c r="F37" i="67"/>
  <c r="B10" i="76"/>
  <c r="F40" i="67"/>
  <c r="E2" i="68"/>
  <c r="E25" i="31" l="1"/>
  <c r="E28" i="31"/>
  <c r="E511" i="31"/>
  <c r="E495" i="31"/>
  <c r="E479" i="31"/>
  <c r="E463" i="31"/>
  <c r="E447" i="31"/>
  <c r="E431" i="31"/>
  <c r="E415" i="31"/>
  <c r="E399" i="31"/>
  <c r="E383" i="31"/>
  <c r="E366" i="31"/>
  <c r="E338" i="31"/>
  <c r="E290" i="31"/>
  <c r="E226" i="31"/>
  <c r="E162" i="31"/>
  <c r="E98" i="31"/>
  <c r="E34" i="31"/>
  <c r="E523" i="31"/>
  <c r="E507" i="31"/>
  <c r="E491" i="31"/>
  <c r="E475" i="31"/>
  <c r="E459" i="31"/>
  <c r="E443" i="31"/>
  <c r="E427" i="31"/>
  <c r="E411" i="31"/>
  <c r="E395" i="31"/>
  <c r="E379" i="31"/>
  <c r="E361" i="31"/>
  <c r="E330" i="31"/>
  <c r="E274" i="31"/>
  <c r="E210" i="31"/>
  <c r="E146" i="31"/>
  <c r="E82" i="31"/>
  <c r="E519" i="31"/>
  <c r="E503" i="31"/>
  <c r="E487" i="31"/>
  <c r="E471" i="31"/>
  <c r="E455" i="31"/>
  <c r="E439" i="31"/>
  <c r="E423" i="31"/>
  <c r="E407" i="31"/>
  <c r="E391" i="31"/>
  <c r="E375" i="31"/>
  <c r="E354" i="31"/>
  <c r="E322" i="31"/>
  <c r="E258" i="31"/>
  <c r="E194" i="31"/>
  <c r="E130" i="31"/>
  <c r="E6" i="31"/>
  <c r="F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3" i="31"/>
  <c r="E297" i="31"/>
  <c r="E301" i="31"/>
  <c r="E305" i="31"/>
  <c r="E309" i="31"/>
  <c r="E313" i="31"/>
  <c r="E317" i="31"/>
  <c r="E321" i="31"/>
  <c r="E2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59" i="31"/>
  <c r="E353" i="31"/>
  <c r="E345" i="31"/>
  <c r="E337" i="31"/>
  <c r="E329" i="31"/>
  <c r="E318" i="31"/>
  <c r="E302" i="31"/>
  <c r="E286" i="31"/>
  <c r="E270" i="31"/>
  <c r="E254" i="31"/>
  <c r="E238" i="31"/>
  <c r="E222" i="31"/>
  <c r="E206" i="31"/>
  <c r="E190" i="31"/>
  <c r="E174" i="31"/>
  <c r="E158" i="31"/>
  <c r="E142" i="31"/>
  <c r="E126" i="31"/>
  <c r="E110" i="31"/>
  <c r="E94" i="31"/>
  <c r="E78" i="31"/>
  <c r="E62" i="31"/>
  <c r="E46" i="31"/>
  <c r="E3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3" i="31"/>
  <c r="E358" i="31"/>
  <c r="E350" i="31"/>
  <c r="E342" i="31"/>
  <c r="E334" i="31"/>
  <c r="E326" i="31"/>
  <c r="E314" i="31"/>
  <c r="E298" i="31"/>
  <c r="E282" i="31"/>
  <c r="E266" i="31"/>
  <c r="E250" i="31"/>
  <c r="E234" i="31"/>
  <c r="E218" i="31"/>
  <c r="E202" i="31"/>
  <c r="E186" i="31"/>
  <c r="E170" i="31"/>
  <c r="E154" i="31"/>
  <c r="E138" i="31"/>
  <c r="E122" i="31"/>
  <c r="E106" i="31"/>
  <c r="E90" i="31"/>
  <c r="E74" i="31"/>
  <c r="E58" i="31"/>
  <c r="E42" i="31"/>
  <c r="E26"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7" i="31"/>
  <c r="E362" i="31"/>
  <c r="E357" i="31"/>
  <c r="E349" i="31"/>
  <c r="E341" i="31"/>
  <c r="E333" i="31"/>
  <c r="E325" i="31"/>
  <c r="E310" i="31"/>
  <c r="E294" i="31"/>
  <c r="E278" i="31"/>
  <c r="E262" i="31"/>
  <c r="E246" i="31"/>
  <c r="E230" i="31"/>
  <c r="E214" i="31"/>
  <c r="E198" i="31"/>
  <c r="E182" i="31"/>
  <c r="E166" i="31"/>
  <c r="E150" i="31"/>
  <c r="E134" i="31"/>
  <c r="E118" i="31"/>
  <c r="E102" i="31"/>
  <c r="E86" i="31"/>
  <c r="E70" i="31"/>
  <c r="E54" i="31"/>
  <c r="E38" i="31"/>
  <c r="E29" i="31"/>
  <c r="G6" i="31"/>
  <c r="H6" i="31" s="1"/>
  <c r="I6" i="31" s="1"/>
  <c r="J6" i="31" s="1"/>
  <c r="K6" i="31" s="1"/>
  <c r="L6" i="31" s="1"/>
  <c r="M6" i="31" s="1"/>
  <c r="N6" i="31" s="1"/>
  <c r="O6" i="31" s="1"/>
  <c r="P6" i="31" s="1"/>
  <c r="Q6" i="31" s="1"/>
  <c r="R6" i="31" s="1"/>
  <c r="S6" i="31" s="1"/>
  <c r="F29" i="6"/>
  <c r="BA13" i="3"/>
  <c r="G18" i="3"/>
  <c r="BL18" i="3"/>
  <c r="BA18" i="3"/>
  <c r="AZ14" i="3"/>
  <c r="G14" i="3"/>
  <c r="G5" i="3" s="1"/>
  <c r="B3" i="3" s="1"/>
  <c r="E253" i="3" s="1"/>
  <c r="G27" i="6"/>
  <c r="F11" i="1"/>
  <c r="G11" i="1" s="1"/>
  <c r="F8" i="1"/>
  <c r="G8" i="1" s="1"/>
  <c r="G1" i="68"/>
  <c r="G1" i="69"/>
  <c r="G1" i="15"/>
  <c r="B6" i="1"/>
  <c r="E6" i="1" s="1"/>
  <c r="BL15" i="3"/>
  <c r="AZ1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BB5" i="3"/>
  <c r="E15" i="6" s="1"/>
  <c r="E64"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C36" i="68"/>
  <c r="D9" i="69"/>
  <c r="D9" i="68"/>
  <c r="M26" i="15"/>
  <c r="L48" i="15"/>
  <c r="L47" i="15"/>
  <c r="F37" i="15"/>
  <c r="F26" i="15"/>
  <c r="M23" i="15"/>
  <c r="F6" i="15"/>
  <c r="C76" i="15"/>
  <c r="F42" i="15"/>
  <c r="F38" i="15"/>
  <c r="M9" i="15"/>
  <c r="M24" i="15"/>
  <c r="F8" i="15"/>
  <c r="L48" i="67"/>
  <c r="F13" i="15"/>
  <c r="F36" i="15"/>
  <c r="F16" i="15"/>
  <c r="G1" i="73"/>
  <c r="F9" i="15"/>
  <c r="J15" i="15"/>
  <c r="M28" i="15"/>
  <c r="F40" i="15"/>
  <c r="M8" i="15"/>
  <c r="M22" i="15"/>
  <c r="M6" i="15"/>
  <c r="BA5" i="3" l="1"/>
  <c r="E8" i="6"/>
  <c r="F27" i="6" s="1"/>
  <c r="E12" i="6"/>
  <c r="E57" i="40" s="1"/>
  <c r="AZ18" i="3"/>
  <c r="AZ5" i="3" s="1"/>
  <c r="S36" i="33"/>
  <c r="E13" i="6"/>
  <c r="E11" i="6"/>
  <c r="E60" i="39" s="1"/>
  <c r="E10" i="6"/>
  <c r="E14" i="6"/>
  <c r="E63" i="39" s="1"/>
  <c r="BL5" i="3"/>
  <c r="K6" i="1"/>
  <c r="Q16" i="1" s="1"/>
  <c r="F27" i="69" s="1"/>
  <c r="F45" i="69" s="1"/>
  <c r="U19" i="1"/>
  <c r="F7" i="36"/>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J57" i="67"/>
  <c r="J55" i="67" s="1"/>
  <c r="J58" i="67" s="1"/>
  <c r="Q50" i="67" s="1"/>
  <c r="L56" i="67"/>
  <c r="L58" i="67"/>
  <c r="Q73" i="67" s="1"/>
  <c r="I54" i="67"/>
  <c r="J53" i="67"/>
  <c r="F1" i="67" s="1"/>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58" i="40"/>
  <c r="E62" i="39"/>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43" i="67"/>
  <c r="F7" i="15"/>
  <c r="C16" i="15"/>
  <c r="M29" i="15"/>
  <c r="F7" i="67"/>
  <c r="F43" i="15"/>
  <c r="M29" i="67"/>
  <c r="E16" i="6" l="1"/>
  <c r="E3" i="6"/>
  <c r="AY6" i="3"/>
  <c r="G16" i="1"/>
  <c r="F10" i="39" s="1"/>
  <c r="S10" i="39" s="1"/>
  <c r="H16" i="1"/>
  <c r="Q52" i="15"/>
  <c r="F71" i="67"/>
  <c r="F71" i="15"/>
  <c r="C6" i="67"/>
  <c r="C32" i="67" s="1"/>
  <c r="M7" i="67"/>
  <c r="J6" i="67" s="1"/>
  <c r="J18" i="67" s="1"/>
  <c r="F50" i="67"/>
  <c r="C49" i="67" s="1"/>
  <c r="C6" i="15"/>
  <c r="C32" i="15" s="1"/>
  <c r="M7" i="15"/>
  <c r="J6" i="15" s="1"/>
  <c r="J18" i="15" s="1"/>
  <c r="F50" i="15"/>
  <c r="C49" i="15" s="1"/>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AG11" i="1"/>
  <c r="AG9" i="1"/>
  <c r="AG10" i="1"/>
  <c r="AG8" i="1"/>
  <c r="AG12" i="1"/>
  <c r="AG7" i="1"/>
  <c r="AG6" i="1"/>
  <c r="K21" i="6"/>
  <c r="S8" i="1" s="1"/>
  <c r="E8" i="70" s="1"/>
  <c r="K25" i="6"/>
  <c r="K20" i="6"/>
  <c r="K23" i="6"/>
  <c r="K22" i="6"/>
  <c r="E31" i="6"/>
  <c r="K24" i="6"/>
  <c r="K19" i="6"/>
  <c r="S6" i="1" s="1"/>
  <c r="O14" i="1"/>
  <c r="O16" i="1" s="1"/>
  <c r="M16" i="1"/>
  <c r="AY155" i="3"/>
  <c r="AY188" i="3"/>
  <c r="AY371" i="3"/>
  <c r="AY67" i="3"/>
  <c r="AY284" i="3"/>
  <c r="AY318" i="3"/>
  <c r="AY300" i="3"/>
  <c r="AY395" i="3"/>
  <c r="AY401" i="3"/>
  <c r="AY569" i="3"/>
  <c r="AY76" i="3"/>
  <c r="AY206" i="3"/>
  <c r="AY125" i="3"/>
  <c r="AY263" i="3"/>
  <c r="AY374" i="3"/>
  <c r="BJ6" i="3"/>
  <c r="AY145" i="3"/>
  <c r="AY274" i="3"/>
  <c r="AY316" i="3"/>
  <c r="AY457" i="3"/>
  <c r="AY585" i="3"/>
  <c r="AY546" i="3"/>
  <c r="AY75" i="3"/>
  <c r="AY444" i="3"/>
  <c r="AY355" i="3"/>
  <c r="AY404" i="3"/>
  <c r="AY89" i="3"/>
  <c r="AY36" i="3"/>
  <c r="AY117" i="3"/>
  <c r="AY254" i="3"/>
  <c r="AY93" i="3"/>
  <c r="AY150" i="3"/>
  <c r="AY356" i="3"/>
  <c r="AY467" i="3"/>
  <c r="AY516" i="3"/>
  <c r="AY559" i="3"/>
  <c r="AY112" i="3"/>
  <c r="AY191" i="3"/>
  <c r="AY350" i="3"/>
  <c r="AY497" i="3"/>
  <c r="AY326" i="3"/>
  <c r="AY557" i="3"/>
  <c r="AY84" i="3"/>
  <c r="AY193" i="3"/>
  <c r="AY286" i="3"/>
  <c r="AY227" i="3"/>
  <c r="AY72" i="3"/>
  <c r="AY121" i="3"/>
  <c r="AY324" i="3"/>
  <c r="AY438" i="3"/>
  <c r="AY536" i="3"/>
  <c r="AY584" i="3"/>
  <c r="AY96" i="3"/>
  <c r="AY48" i="3"/>
  <c r="AY169" i="3"/>
  <c r="AY287" i="3"/>
  <c r="AY223" i="3"/>
  <c r="AY364" i="3"/>
  <c r="AY328" i="3"/>
  <c r="AY471" i="3"/>
  <c r="AY442" i="3"/>
  <c r="AY439" i="3"/>
  <c r="AY499" i="3"/>
  <c r="AY524" i="3"/>
  <c r="BR6" i="3"/>
  <c r="AY578" i="3"/>
  <c r="AY78" i="3"/>
  <c r="AY192" i="3"/>
  <c r="AY127" i="3"/>
  <c r="AY249" i="3"/>
  <c r="AY376" i="3"/>
  <c r="AY346" i="3"/>
  <c r="AY424" i="3"/>
  <c r="AY558" i="3"/>
  <c r="AY587" i="3"/>
  <c r="AY55" i="3"/>
  <c r="AY179" i="3"/>
  <c r="AY128" i="3"/>
  <c r="AY256" i="3"/>
  <c r="AY391" i="3"/>
  <c r="AY306" i="3"/>
  <c r="AY448" i="3"/>
  <c r="BC6" i="3"/>
  <c r="AY586" i="3"/>
  <c r="AY122" i="3"/>
  <c r="AY218" i="3"/>
  <c r="AY336" i="3"/>
  <c r="AY304" i="3"/>
  <c r="AY418" i="3"/>
  <c r="AY431" i="3"/>
  <c r="AY575" i="3"/>
  <c r="AY530" i="3"/>
  <c r="AY47" i="3"/>
  <c r="AY30" i="3"/>
  <c r="AY296" i="3"/>
  <c r="AY233" i="3"/>
  <c r="AY330" i="3"/>
  <c r="AY440" i="3"/>
  <c r="AY576" i="3"/>
  <c r="AY102" i="3"/>
  <c r="AY175" i="3"/>
  <c r="AY136" i="3"/>
  <c r="AY375" i="3"/>
  <c r="AY322" i="3"/>
  <c r="AY15" i="3"/>
  <c r="AY583" i="3"/>
  <c r="AY174" i="3"/>
  <c r="AY153" i="3"/>
  <c r="AY396"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F41" i="15"/>
  <c r="M27" i="15"/>
  <c r="F41" i="67"/>
  <c r="M27" i="67"/>
  <c r="C16" i="67"/>
  <c r="AY87" i="3" l="1"/>
  <c r="AY207" i="3"/>
  <c r="AY115" i="3"/>
  <c r="AY131"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83" i="3"/>
  <c r="AY176" i="3"/>
  <c r="AY59" i="3"/>
  <c r="AY281" i="3"/>
  <c r="AY297"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24" i="3"/>
  <c r="AY5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52"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51" i="3"/>
  <c r="AY42"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566" i="3"/>
  <c r="AY477" i="3"/>
  <c r="AY240" i="3"/>
  <c r="AY164" i="3"/>
  <c r="AY107" i="3"/>
  <c r="AY408" i="3"/>
  <c r="AY359" i="3"/>
  <c r="AY301" i="3"/>
  <c r="AY62" i="3"/>
  <c r="AY545" i="3"/>
  <c r="AY538" i="3"/>
  <c r="AY434" i="3"/>
  <c r="AY320" i="3"/>
  <c r="AY250" i="3"/>
  <c r="AY21" i="3"/>
  <c r="AY432" i="3"/>
  <c r="AY208" i="3"/>
  <c r="AY195" i="3"/>
  <c r="AY13" i="3"/>
  <c r="AY347" i="3"/>
  <c r="AY120" i="3"/>
  <c r="AY563" i="3"/>
  <c r="AY564" i="3"/>
  <c r="AY450" i="3"/>
  <c r="AY352" i="3"/>
  <c r="AY142" i="3"/>
  <c r="BD6" i="3"/>
  <c r="AY338" i="3"/>
  <c r="AY241" i="3"/>
  <c r="AY184" i="3"/>
  <c r="BL6" i="3"/>
  <c r="AY456" i="3"/>
  <c r="AY378" i="3"/>
  <c r="AY135" i="3"/>
  <c r="AY63" i="3"/>
  <c r="AY542" i="3"/>
  <c r="AY506" i="3"/>
  <c r="AY458" i="3"/>
  <c r="AY344" i="3"/>
  <c r="AY234" i="3"/>
  <c r="AY158" i="3"/>
  <c r="AY101" i="3"/>
  <c r="AY572" i="3"/>
  <c r="AY341" i="3"/>
  <c r="AY88" i="3"/>
  <c r="AY291" i="3"/>
  <c r="AY100" i="3"/>
  <c r="AY343" i="3"/>
  <c r="AY220" i="3"/>
  <c r="AY577" i="3"/>
  <c r="AY525" i="3"/>
  <c r="AY393" i="3"/>
  <c r="BS6" i="3"/>
  <c r="AY126" i="3"/>
  <c r="AY555" i="3"/>
  <c r="AY244" i="3"/>
  <c r="AY171" i="3"/>
  <c r="AY581" i="3"/>
  <c r="AY317" i="3"/>
  <c r="AY197" i="3"/>
  <c r="AY392" i="3"/>
  <c r="AY149" i="3"/>
  <c r="AY77" i="3"/>
  <c r="AY452" i="3"/>
  <c r="AY106" i="3"/>
  <c r="AY123" i="3"/>
  <c r="AY236" i="3"/>
  <c r="AY23" i="3"/>
  <c r="AY521" i="3"/>
  <c r="AY307" i="3"/>
  <c r="AY257" i="3"/>
  <c r="AY200" i="3"/>
  <c r="AY568" i="3"/>
  <c r="AY451" i="3"/>
  <c r="AY394" i="3"/>
  <c r="AY151" i="3"/>
  <c r="AY79" i="3"/>
  <c r="AY551" i="3"/>
  <c r="AY505" i="3"/>
  <c r="AY445" i="3"/>
  <c r="AY305" i="3"/>
  <c r="AY267" i="3"/>
  <c r="AY567" i="3"/>
  <c r="AY474" i="3"/>
  <c r="AY272" i="3"/>
  <c r="AY39" i="3"/>
  <c r="AY421" i="3"/>
  <c r="AY383" i="3"/>
  <c r="AY203" i="3"/>
  <c r="AY548" i="3"/>
  <c r="AY17" i="3"/>
  <c r="AY492" i="3"/>
  <c r="AY385" i="3"/>
  <c r="AY498" i="3"/>
  <c r="AY416" i="3"/>
  <c r="AY367" i="3"/>
  <c r="AY119" i="3"/>
  <c r="AY70" i="3"/>
  <c r="AY517" i="3"/>
  <c r="AY314" i="3"/>
  <c r="AY264" i="3"/>
  <c r="AY187" i="3"/>
  <c r="BA6" i="3"/>
  <c r="AY502" i="3"/>
  <c r="AY423" i="3"/>
  <c r="AY484" i="3"/>
  <c r="AY345" i="3"/>
  <c r="AY282" i="3"/>
  <c r="AY37" i="3"/>
  <c r="AY514" i="3"/>
  <c r="AY406" i="3"/>
  <c r="AY275" i="3"/>
  <c r="AY373" i="3"/>
  <c r="AY162" i="3"/>
  <c r="AY573" i="3"/>
  <c r="AY116" i="3"/>
  <c r="AY132" i="3"/>
  <c r="AY508" i="3"/>
  <c r="AY454" i="3"/>
  <c r="AY130" i="3"/>
  <c r="AY222" i="3"/>
  <c r="AY182" i="3"/>
  <c r="AY535" i="3"/>
  <c r="AY425" i="3"/>
  <c r="BG6" i="3"/>
  <c r="AY430" i="3"/>
  <c r="AY388" i="3"/>
  <c r="AY73" i="3"/>
  <c r="AY262" i="3"/>
  <c r="AY185" i="3"/>
  <c r="BE6" i="3"/>
  <c r="AY327" i="3"/>
  <c r="AY460" i="3"/>
  <c r="AY160" i="3"/>
  <c r="AY276" i="3"/>
  <c r="AY66" i="3"/>
  <c r="AY253" i="3"/>
  <c r="AY111" i="3"/>
  <c r="AY152" i="3"/>
  <c r="AY95" i="3"/>
  <c r="AY144" i="3"/>
  <c r="AY34" i="3"/>
  <c r="C10" i="15"/>
  <c r="C5" i="15" s="1"/>
  <c r="C38" i="15" s="1"/>
  <c r="C10" i="67"/>
  <c r="C5" i="67" s="1"/>
  <c r="C38" i="67" s="1"/>
  <c r="H10" i="40"/>
  <c r="AB10" i="40" s="1"/>
  <c r="H10" i="39"/>
  <c r="J10" i="39"/>
  <c r="W10" i="39" s="1"/>
  <c r="J10" i="40"/>
  <c r="AC10" i="40" s="1"/>
  <c r="F10" i="40"/>
  <c r="S10" i="40" s="1"/>
  <c r="AA10" i="39"/>
  <c r="C48" i="67"/>
  <c r="C66" i="67" s="1"/>
  <c r="J5" i="67"/>
  <c r="J24" i="67" s="1"/>
  <c r="C48" i="15"/>
  <c r="C66" i="15" s="1"/>
  <c r="J5" i="15"/>
  <c r="J24" i="15" s="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33" i="43" s="1"/>
  <c r="D1" i="43" s="1"/>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C17" i="67"/>
  <c r="C14" i="67"/>
  <c r="AC10" i="39" l="1"/>
  <c r="AA10" i="40"/>
  <c r="U10" i="40"/>
  <c r="U10" i="39"/>
  <c r="AB10" i="39"/>
  <c r="C60" i="67"/>
  <c r="W10" i="40"/>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N94" i="46"/>
  <c r="E26" i="43"/>
  <c r="Z7" i="43"/>
  <c r="N370" i="46"/>
  <c r="B116" i="43"/>
  <c r="H26" i="43"/>
  <c r="F26" i="43"/>
  <c r="J26"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8" i="43"/>
  <c r="D119" i="43"/>
  <c r="E119" i="43" s="1"/>
  <c r="F119" i="43" s="1"/>
  <c r="G119" i="43" s="1"/>
  <c r="H119" i="43" s="1"/>
  <c r="D120" i="43"/>
  <c r="E120" i="43" s="1"/>
  <c r="F120" i="43" s="1"/>
  <c r="G120" i="43" s="1"/>
  <c r="H120" i="43" s="1"/>
  <c r="D121" i="43"/>
  <c r="E121" i="43" s="1"/>
  <c r="F121" i="43" s="1"/>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U7" i="35"/>
  <c r="AB7" i="35"/>
  <c r="T38" i="35" s="1"/>
  <c r="G38" i="35" s="1"/>
  <c r="R49" i="21"/>
  <c r="E48" i="21"/>
  <c r="G52" i="21"/>
  <c r="H52" i="21" s="1"/>
  <c r="F7" i="35"/>
  <c r="F35" i="67"/>
  <c r="F35" i="15"/>
  <c r="M21" i="15"/>
  <c r="M21" i="67"/>
  <c r="C118" i="43" l="1"/>
  <c r="D116" i="43"/>
  <c r="C33" i="43"/>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6" i="69" l="1"/>
  <c r="E33" i="43"/>
  <c r="C6" i="68" s="1"/>
  <c r="C34" i="43"/>
  <c r="E34" i="43" s="1"/>
  <c r="C31" i="43"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 i="68" l="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E2" i="76" l="1"/>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L51" i="15"/>
  <c r="D2" i="34"/>
  <c r="D2" i="37"/>
  <c r="B6" i="76"/>
  <c r="B2" i="76" l="1"/>
  <c r="B3" i="76" s="1"/>
  <c r="B3" i="43"/>
  <c r="C28" i="69"/>
  <c r="C27" i="69" s="1"/>
  <c r="C25" i="69"/>
  <c r="C22" i="69" s="1"/>
  <c r="C28" i="68"/>
  <c r="C27" i="68" s="1"/>
  <c r="C25" i="68"/>
  <c r="C22" i="68"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D19" i="9"/>
  <c r="AO12" i="1"/>
  <c r="AO10" i="1"/>
  <c r="AO8" i="1"/>
  <c r="AO7" i="1"/>
  <c r="AO11" i="1"/>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C20" i="9"/>
  <c r="D34" i="9"/>
  <c r="D35" i="9"/>
  <c r="C103" i="9" l="1"/>
  <c r="G20" i="9"/>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35" i="80" s="1"/>
  <c r="H35" i="80" s="1"/>
  <c r="I35" i="80" s="1"/>
  <c r="B6" i="74"/>
  <c r="D6" i="74" s="1"/>
  <c r="S24" i="31" l="1"/>
  <c r="R27" i="31"/>
  <c r="R29" i="31"/>
  <c r="R30" i="31"/>
  <c r="S30" i="31" s="1"/>
  <c r="R25" i="31"/>
  <c r="R26" i="31"/>
  <c r="R28" i="31"/>
  <c r="H118" i="9"/>
  <c r="S27" i="31" l="1"/>
  <c r="G34" i="80"/>
  <c r="H34" i="80" s="1"/>
  <c r="I34" i="80" s="1"/>
  <c r="S28" i="31"/>
  <c r="G33" i="80"/>
  <c r="K33" i="80" s="1"/>
  <c r="S25" i="31"/>
  <c r="G38" i="80"/>
  <c r="H38" i="80" s="1"/>
  <c r="I38" i="80" s="1"/>
  <c r="S26" i="31"/>
  <c r="G37" i="80"/>
  <c r="H37" i="80" s="1"/>
  <c r="I37" i="80" s="1"/>
  <c r="S29" i="31"/>
  <c r="G36" i="80"/>
  <c r="H36" i="80" s="1"/>
  <c r="I36" i="80" s="1"/>
  <c r="H119" i="9"/>
  <c r="H5" i="52" s="1"/>
  <c r="I118" i="9"/>
  <c r="H101" i="9"/>
  <c r="M48" i="9" s="1"/>
  <c r="H4" i="52"/>
  <c r="C104" i="9"/>
  <c r="D14" i="74"/>
  <c r="D118" i="9"/>
  <c r="H33" i="80" l="1"/>
  <c r="I33" i="80" s="1"/>
  <c r="S22" i="31"/>
  <c r="R22" i="31" s="1"/>
  <c r="H102" i="9"/>
  <c r="D7" i="53" s="1"/>
  <c r="B21" i="72" s="1"/>
  <c r="I4" i="52"/>
  <c r="C105" i="9"/>
  <c r="D45" i="9"/>
  <c r="C78" i="9" s="1"/>
  <c r="C73" i="9" s="1"/>
  <c r="D5" i="53"/>
  <c r="D6" i="53" s="1"/>
  <c r="B22" i="72" s="1"/>
  <c r="H107" i="9"/>
  <c r="D122" i="9" s="1"/>
  <c r="E14" i="74"/>
  <c r="F14" i="74"/>
  <c r="B5" i="74"/>
  <c r="D4" i="52"/>
  <c r="B47" i="72" s="1"/>
  <c r="D119" i="9"/>
  <c r="D5" i="52" s="1"/>
  <c r="B49" i="72" s="1"/>
  <c r="H39" i="80" l="1"/>
  <c r="B20" i="31"/>
  <c r="B21" i="31" s="1"/>
  <c r="C93" i="9"/>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<sst xmlns="http://schemas.openxmlformats.org/spreadsheetml/2006/main" count="8012" uniqueCount="3485">
  <si>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</si>
  <si>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</si>
  <si>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</si>
  <si>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</si>
  <si>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</si>
  <si>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</si>
  <si>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</si>
  <si>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</si>
  <si>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</si>
  <si>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</si>
  <si>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</si>
  <si>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</si>
  <si>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</si>
  <si>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</si>
  <si>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</si>
  <si>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</si>
  <si>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</si>
  <si>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</si>
  <si>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</si>
  <si>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</si>
  <si>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</si>
  <si>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</si>
  <si>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</si>
  <si>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</si>
  <si>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</si>
  <si>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</si>
  <si>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</si>
  <si>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</si>
  <si>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</si>
  <si>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</si>
  <si>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</si>
  <si>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</si>
  <si>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</si>
  <si>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</si>
  <si>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</si>
  <si>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</si>
  <si>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</si>
  <si>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</si>
  <si>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</si>
  <si>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</si>
  <si>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</si>
  <si>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</si>
  <si>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</si>
  <si>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</si>
  <si>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</si>
  <si>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</si>
  <si>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</si>
  <si>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</si>
  <si>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</si>
  <si>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</si>
  <si>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</si>
  <si>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</si>
  <si>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</si>
  <si>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</si>
  <si>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</si>
  <si>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</si>
  <si>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</si>
  <si>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</si>
  <si>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</si>
  <si>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</si>
  <si>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</si>
  <si>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</si>
  <si>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</si>
  <si>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</si>
  <si>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</si>
  <si>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</si>
  <si>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</si>
  <si>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</si>
  <si>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</si>
  <si>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</si>
  <si>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</si>
  <si>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</si>
  <si>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</si>
  <si>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</si>
  <si>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</si>
  <si>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</si>
  <si>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</si>
  <si>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</si>
  <si>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</si>
  <si>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</si>
  <si>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</si>
  <si>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</si>
  <si>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</si>
  <si>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</si>
  <si>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</si>
  <si>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</si>
  <si>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</si>
  <si>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</si>
  <si>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</si>
  <si>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</si>
  <si>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</si>
  <si>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</si>
  <si>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</si>
  <si>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</si>
  <si>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</si>
  <si>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</si>
  <si>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</si>
  <si>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</si>
  <si>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</si>
  <si>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</si>
  <si>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</si>
  <si>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</si>
  <si>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</si>
  <si>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</si>
  <si>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</si>
  <si>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</si>
  <si>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</si>
  <si>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</si>
  <si>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</si>
  <si>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</si>
  <si>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</si>
  <si>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</si>
  <si>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</si>
  <si>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</si>
  <si>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</si>
  <si>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</si>
  <si>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</si>
  <si>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</si>
  <si>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</si>
  <si>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</si>
  <si>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</si>
  <si>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</si>
  <si>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</si>
  <si>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</si>
  <si>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</si>
  <si>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</si>
  <si>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</si>
  <si>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</si>
  <si>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</si>
  <si>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</si>
  <si>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</si>
  <si>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</si>
  <si>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</si>
  <si>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</si>
  <si>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</si>
  <si>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</si>
  <si>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</si>
  <si>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</si>
  <si>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</si>
  <si>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</si>
  <si>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</si>
  <si>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</si>
  <si>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</si>
  <si>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</si>
  <si>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</si>
  <si>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</si>
  <si>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</si>
  <si>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</si>
  <si>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</si>
  <si>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</si>
  <si>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</si>
  <si>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</si>
  <si>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</si>
  <si>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</si>
  <si>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</si>
  <si>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</si>
  <si>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</si>
  <si>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</si>
  <si>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</si>
  <si>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</si>
  <si>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</si>
  <si>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</si>
  <si>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</si>
  <si>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</si>
  <si>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</si>
  <si>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</si>
  <si>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</si>
  <si>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</si>
  <si>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</si>
  <si>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</si>
  <si>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</si>
  <si>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</si>
  <si>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</si>
  <si>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</si>
  <si>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</si>
  <si>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</si>
  <si>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</si>
  <si>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</si>
  <si>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</si>
  <si>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</si>
  <si>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</si>
  <si>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</si>
  <si>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</si>
  <si>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</si>
  <si>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</si>
  <si>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</si>
  <si>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</si>
  <si>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</si>
  <si>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</si>
  <si>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</si>
  <si>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</si>
  <si>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</si>
  <si>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</si>
  <si>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</si>
  <si>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</si>
  <si>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</si>
  <si>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</si>
  <si>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</si>
  <si>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</si>
  <si>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</si>
  <si>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</si>
  <si>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</si>
  <si>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</si>
  <si>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</si>
  <si>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</si>
  <si>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</si>
  <si>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</si>
  <si>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</si>
  <si>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</si>
  <si>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</si>
  <si>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</si>
  <si>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</si>
  <si>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</si>
  <si>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</si>
  <si>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</si>
  <si>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</si>
  <si>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</si>
  <si>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</si>
  <si>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</si>
  <si>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</si>
  <si>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</si>
  <si>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</si>
  <si>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</si>
  <si>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</si>
  <si>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</si>
  <si>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</si>
  <si>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</si>
  <si>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</si>
  <si>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</si>
  <si>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</si>
  <si>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</si>
  <si>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</si>
  <si>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</si>
  <si>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</si>
  <si>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</si>
  <si>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</si>
  <si>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</si>
  <si>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</si>
  <si>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</si>
  <si>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</si>
  <si>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</si>
  <si>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</si>
  <si>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</si>
  <si>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</si>
  <si>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</si>
  <si>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</si>
  <si>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</si>
  <si>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</si>
  <si>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</si>
  <si>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</si>
  <si>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</si>
  <si>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</si>
  <si>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</si>
  <si>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</si>
  <si>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</si>
  <si>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</si>
  <si>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</si>
  <si>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</si>
  <si>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</si>
  <si>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</si>
  <si>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</si>
  <si>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</si>
  <si>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</si>
  <si>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</si>
  <si>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</si>
  <si>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</si>
  <si>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</si>
  <si>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</si>
  <si>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</si>
  <si>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</si>
  <si>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</si>
  <si>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</si>
  <si>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</si>
  <si>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</si>
  <si>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</si>
  <si>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</si>
  <si>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</si>
  <si>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</si>
  <si>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</si>
  <si>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</si>
  <si>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</si>
  <si>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</si>
  <si>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</si>
  <si>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</si>
  <si>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</si>
  <si>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</si>
  <si>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</si>
  <si>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</si>
  <si>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</si>
  <si>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</si>
  <si>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</si>
  <si>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</si>
  <si>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</si>
  <si>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</si>
  <si>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</si>
  <si>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</si>
  <si>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</si>
  <si>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</si>
  <si>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</si>
  <si>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</si>
  <si>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</si>
  <si>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</si>
  <si>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</si>
  <si>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</si>
  <si>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</si>
  <si>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</si>
  <si>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</si>
  <si>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</si>
  <si>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</si>
  <si>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</si>
  <si>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</si>
  <si>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</si>
  <si>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</si>
  <si>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</si>
  <si>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</si>
  <si>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</si>
  <si>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</si>
  <si>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</si>
  <si>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</si>
  <si>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</si>
  <si>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</si>
  <si>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</si>
  <si>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</si>
  <si>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</si>
  <si>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</si>
  <si>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</si>
  <si>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</si>
  <si>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</si>
  <si>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</si>
  <si>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</si>
  <si>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</si>
  <si>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</si>
  <si>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</si>
  <si>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</si>
  <si>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</si>
  <si>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</si>
  <si>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</si>
  <si>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</si>
  <si>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</si>
  <si>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</si>
  <si>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</si>
  <si>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</si>
  <si>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</si>
  <si>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</si>
  <si>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</si>
  <si>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</si>
  <si>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</si>
  <si>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</si>
  <si>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</si>
  <si>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</si>
  <si>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</si>
  <si>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</si>
  <si>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</si>
  <si>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</si>
  <si>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</si>
  <si>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</si>
  <si>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</si>
  <si>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</si>
  <si>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</si>
  <si>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</si>
  <si>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</si>
  <si>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</si>
  <si>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</si>
  <si>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</si>
  <si>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</si>
  <si>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</si>
  <si>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</si>
  <si>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</si>
  <si>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</si>
  <si>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</si>
  <si>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</si>
  <si>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</si>
  <si>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</si>
  <si>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</si>
  <si>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</si>
  <si>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</si>
  <si>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</si>
  <si>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</si>
  <si>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</si>
  <si>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</si>
  <si>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</si>
  <si>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</si>
  <si>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</si>
  <si>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</si>
  <si>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</si>
  <si>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</si>
  <si>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</si>
  <si>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</si>
  <si>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</si>
  <si>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</si>
  <si>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</si>
  <si>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</si>
  <si>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</si>
  <si>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</si>
  <si>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</si>
  <si>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</si>
  <si>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</si>
  <si>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</si>
  <si>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</si>
  <si>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</si>
  <si>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</si>
  <si>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</si>
  <si>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</si>
  <si>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</si>
  <si>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</si>
  <si>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</si>
  <si>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</si>
  <si>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</si>
  <si>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</si>
  <si>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</si>
  <si>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</si>
  <si>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</si>
  <si>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</si>
  <si>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</si>
  <si>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</si>
  <si>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</si>
  <si>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</si>
  <si>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</si>
  <si>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</si>
  <si>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</si>
  <si>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</si>
  <si>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</si>
  <si>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</si>
  <si>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</si>
  <si>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</si>
  <si>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</si>
  <si>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</si>
  <si>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</si>
  <si>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</si>
  <si>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</si>
  <si>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</si>
  <si>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</si>
  <si>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</si>
  <si>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</si>
  <si>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</si>
  <si>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</si>
  <si>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</si>
  <si>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</si>
  <si>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</si>
  <si>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</si>
  <si>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</si>
  <si>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</si>
  <si>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</si>
  <si>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</si>
  <si>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</si>
  <si>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</si>
  <si>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</si>
  <si>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</si>
  <si>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</si>
  <si>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</si>
  <si>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</si>
  <si>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</si>
  <si>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</si>
  <si>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</si>
  <si>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</si>
  <si>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</si>
  <si>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</si>
  <si>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</si>
  <si>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</si>
  <si>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</si>
  <si>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</si>
  <si>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</si>
  <si>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</si>
  <si>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</si>
  <si>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</si>
  <si>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</si>
  <si>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</si>
  <si>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</si>
  <si>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</si>
  <si>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</si>
  <si>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</si>
  <si>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</si>
  <si>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</si>
  <si>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</si>
  <si>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</si>
  <si>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</si>
  <si>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</si>
  <si>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</si>
  <si>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</si>
  <si>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</si>
  <si>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</si>
  <si>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</si>
  <si>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</si>
  <si>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</si>
  <si>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</si>
  <si>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</si>
  <si>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</si>
  <si>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</si>
  <si>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</si>
  <si>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</si>
  <si>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</si>
  <si>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</si>
  <si>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</si>
  <si>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</si>
  <si>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</si>
  <si>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</si>
  <si>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</si>
  <si>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</si>
  <si>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</si>
  <si>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</si>
  <si>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</si>
  <si>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</si>
  <si>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</si>
  <si>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</si>
  <si>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</si>
  <si>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</si>
  <si>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</si>
  <si>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</si>
  <si>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</si>
  <si>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</si>
  <si>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</si>
  <si>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</si>
  <si>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</si>
  <si>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</si>
  <si>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</si>
  <si>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</si>
  <si>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</si>
  <si>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</si>
  <si>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</si>
  <si>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</si>
  <si>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</si>
  <si>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</si>
  <si>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</si>
  <si>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</si>
  <si>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</si>
  <si>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</si>
  <si>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</si>
  <si>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</si>
  <si>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</si>
  <si>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</si>
  <si>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</si>
  <si>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</si>
  <si>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</si>
  <si>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</si>
  <si>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</si>
  <si>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</si>
  <si>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</si>
  <si>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</si>
  <si>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</si>
  <si>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</si>
  <si>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</si>
  <si>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</si>
  <si>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</si>
  <si>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</si>
  <si>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</si>
  <si>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</si>
  <si>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</si>
  <si>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</si>
  <si>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</si>
  <si>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</si>
  <si>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</si>
  <si>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</si>
  <si>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</si>
  <si>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</si>
  <si>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</si>
  <si>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</si>
  <si>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</si>
  <si>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</si>
  <si>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</si>
  <si>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</si>
  <si>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</si>
  <si>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</si>
  <si>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</si>
  <si>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</si>
  <si>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</si>
  <si>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</si>
  <si>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</si>
  <si>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</si>
  <si>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</si>
  <si>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</si>
  <si>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</si>
  <si>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</si>
  <si>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</si>
  <si>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</si>
  <si>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</si>
  <si>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</si>
  <si>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</si>
  <si>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</si>
  <si>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</si>
  <si>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</si>
  <si>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</si>
  <si>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</si>
  <si>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</si>
  <si>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</si>
  <si>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</si>
  <si>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</si>
  <si>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</si>
  <si>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</si>
  <si>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</si>
  <si>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</si>
  <si>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</si>
  <si>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</si>
  <si>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</si>
  <si>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</si>
  <si>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</si>
  <si>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</si>
  <si>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</si>
  <si>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</si>
  <si>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</si>
  <si>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</si>
  <si>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</si>
  <si>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</si>
  <si>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</si>
  <si>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</si>
  <si>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</si>
  <si>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</si>
  <si>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</si>
  <si>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</si>
  <si>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</si>
  <si>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</si>
  <si>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</si>
  <si>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</si>
  <si>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</si>
  <si>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</si>
  <si>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</si>
  <si>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</si>
  <si>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</si>
  <si>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</si>
  <si>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</si>
  <si>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</si>
  <si>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</si>
  <si>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</si>
  <si>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</si>
  <si>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</si>
  <si>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</si>
  <si>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</si>
  <si>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</si>
  <si>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</si>
  <si>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</si>
  <si>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</si>
  <si>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</si>
  <si>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</si>
  <si>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</si>
  <si>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</si>
  <si>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</si>
  <si>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</si>
  <si>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</si>
  <si>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</si>
  <si>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</si>
  <si>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</si>
  <si>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</si>
  <si>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</si>
  <si>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</si>
  <si>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</si>
  <si>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</si>
  <si>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</si>
  <si>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</si>
  <si>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</si>
  <si>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</si>
  <si>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</si>
  <si>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</si>
  <si>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</si>
  <si>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</si>
  <si>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</si>
  <si>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</si>
  <si>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</si>
  <si>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</si>
  <si>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</si>
  <si>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</si>
  <si>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</si>
  <si>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</si>
  <si>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</si>
  <si>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</si>
  <si>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</si>
  <si>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</si>
  <si>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</si>
  <si>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</si>
  <si>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</si>
  <si>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</si>
  <si>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</si>
  <si>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</si>
  <si>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</si>
  <si>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</si>
  <si>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</si>
  <si>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</si>
  <si>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</si>
  <si>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</si>
  <si>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</si>
  <si>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</si>
  <si>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</si>
  <si>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</si>
  <si>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</si>
  <si>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</si>
  <si>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</si>
  <si>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</si>
  <si>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</si>
  <si>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</si>
  <si>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</si>
  <si>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</si>
  <si>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</si>
  <si>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</si>
  <si>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</si>
  <si>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</si>
  <si>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</si>
  <si>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</si>
  <si>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</si>
  <si>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</si>
  <si>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</si>
  <si>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</si>
  <si>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</si>
  <si>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</si>
  <si>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</si>
  <si>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</si>
  <si>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</si>
  <si>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</si>
  <si>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</si>
  <si>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</si>
  <si>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</si>
  <si>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</si>
  <si>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</si>
  <si>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</si>
  <si>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</si>
  <si>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</si>
  <si>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</si>
  <si>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</si>
  <si>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</si>
  <si>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</si>
  <si>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</si>
  <si>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</si>
  <si>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</si>
  <si>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</si>
  <si>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</si>
  <si>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</si>
  <si>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</si>
  <si>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</si>
  <si>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</si>
  <si>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</si>
  <si>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</si>
  <si>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</si>
  <si>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</si>
  <si>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</si>
  <si>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</si>
  <si>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</si>
  <si>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</si>
  <si>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</si>
  <si>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</si>
  <si>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</si>
  <si>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</si>
  <si>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</si>
  <si>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</si>
  <si>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</si>
  <si>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</si>
  <si>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</si>
  <si>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</si>
  <si>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</si>
  <si>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</si>
  <si>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</si>
  <si>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</si>
  <si>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</si>
  <si>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</si>
  <si>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</si>
  <si>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</si>
  <si>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</si>
  <si>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</si>
  <si>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</si>
  <si>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</si>
  <si>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</si>
  <si>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</si>
  <si>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</si>
  <si>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</si>
  <si>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</si>
  <si>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</si>
  <si>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</si>
  <si>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</si>
  <si>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</si>
  <si>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</si>
  <si>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</si>
  <si>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</si>
  <si>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</si>
  <si>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</si>
  <si>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</si>
  <si>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</si>
  <si>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</si>
  <si>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</si>
  <si>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</si>
  <si>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</si>
  <si>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</si>
  <si>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</si>
  <si>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</si>
  <si>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</si>
  <si>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</si>
  <si>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</si>
  <si>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</si>
  <si>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</si>
  <si>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</si>
  <si>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</si>
  <si>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</si>
  <si>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</si>
  <si>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</si>
  <si>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</si>
  <si>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</si>
  <si>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</si>
  <si>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</si>
  <si>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</si>
  <si>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</si>
  <si>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</si>
  <si>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</si>
  <si>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</si>
  <si>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</si>
  <si>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</si>
  <si>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</si>
  <si>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</si>
  <si>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</si>
  <si>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</si>
  <si>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</si>
  <si>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</si>
  <si>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</si>
  <si>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</si>
  <si>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</si>
  <si>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</si>
  <si>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</si>
  <si>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</si>
  <si>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</si>
  <si>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</si>
  <si>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</si>
  <si>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</si>
  <si>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</si>
  <si>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</si>
  <si>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</si>
  <si>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</si>
  <si>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</si>
  <si>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</si>
  <si>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</si>
  <si>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</si>
  <si>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</si>
  <si>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</si>
  <si>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</si>
  <si>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</si>
  <si>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</si>
  <si>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</si>
  <si>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</si>
  <si>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</si>
  <si>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</si>
  <si>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</si>
  <si>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</si>
  <si>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</si>
  <si>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</si>
  <si>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</si>
  <si>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</si>
  <si>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</si>
  <si>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</si>
  <si>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</si>
  <si>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</si>
  <si>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</si>
  <si>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</si>
  <si>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</si>
  <si>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</si>
  <si>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</si>
  <si>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</si>
  <si>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</si>
  <si>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</si>
  <si>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</si>
  <si>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</si>
  <si>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</si>
  <si>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</si>
  <si>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</si>
  <si>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</si>
  <si>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</si>
  <si>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</si>
  <si>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</si>
  <si>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</si>
  <si>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</si>
  <si>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</si>
  <si>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</si>
  <si>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</si>
  <si>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</si>
  <si>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</si>
  <si>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</si>
  <si>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</si>
  <si>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</si>
  <si>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</si>
  <si>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</si>
  <si>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</si>
  <si>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</si>
  <si>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</si>
  <si>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</si>
  <si>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</si>
  <si>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</si>
  <si>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</si>
  <si>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</si>
  <si>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</si>
  <si>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</si>
  <si>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</si>
  <si>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</si>
  <si>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</si>
  <si>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</si>
  <si>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</si>
  <si>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</si>
  <si>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</si>
  <si>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</si>
  <si>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</si>
  <si>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</si>
  <si>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</si>
  <si>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</si>
  <si>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</si>
  <si>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</si>
  <si>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</si>
  <si>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</si>
  <si>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</si>
  <si>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</si>
  <si>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</si>
  <si>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</si>
  <si>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</si>
  <si>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</si>
  <si>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</si>
  <si>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</si>
  <si>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</si>
  <si>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</si>
  <si>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</si>
  <si>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</si>
  <si>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</si>
  <si>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</si>
  <si>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</si>
  <si>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</si>
  <si>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</si>
  <si>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</si>
  <si>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</si>
  <si>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</si>
  <si>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</si>
  <si>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</si>
  <si>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</si>
  <si>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</si>
  <si>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</si>
  <si>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</si>
  <si>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</si>
  <si>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</si>
  <si>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</si>
  <si>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</si>
  <si>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</si>
  <si>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</si>
  <si>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</si>
  <si>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</si>
  <si>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</si>
  <si>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</si>
  <si>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</si>
  <si>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</si>
  <si>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</si>
  <si>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</si>
  <si>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</si>
  <si>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</si>
  <si>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</si>
  <si>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</si>
  <si>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</si>
  <si>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</si>
  <si>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</si>
  <si>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</si>
  <si>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</si>
  <si>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</si>
  <si>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</si>
  <si>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</si>
  <si>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</si>
  <si>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</si>
  <si>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</si>
  <si>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</si>
  <si>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</si>
  <si>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</si>
  <si>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</si>
  <si>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</si>
  <si>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</si>
  <si>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</si>
  <si>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</si>
  <si>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</si>
  <si>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</si>
  <si>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</si>
  <si>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</si>
  <si>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</si>
  <si>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</si>
  <si>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</si>
  <si>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</si>
  <si>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</si>
  <si>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</si>
  <si>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</si>
  <si>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</si>
  <si>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</si>
  <si>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</si>
  <si>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</si>
  <si>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</si>
  <si>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</si>
  <si>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</si>
  <si>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</si>
  <si>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</si>
  <si>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</si>
  <si>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</si>
  <si>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</si>
  <si>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</si>
  <si>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</si>
  <si>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</si>
  <si>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</si>
  <si>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</si>
  <si>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</si>
  <si>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</si>
  <si>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</si>
  <si>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</si>
  <si>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</si>
  <si>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</si>
  <si>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</si>
  <si>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</si>
  <si>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</si>
  <si>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</si>
  <si>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</si>
  <si>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</si>
  <si>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</si>
  <si>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</si>
  <si>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</si>
  <si>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</si>
  <si>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</si>
  <si>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</si>
  <si>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</si>
  <si>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</si>
  <si>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</si>
  <si>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</si>
  <si>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</si>
  <si>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</si>
  <si>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</si>
  <si>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</si>
  <si>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</si>
  <si>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</si>
  <si>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</si>
  <si>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</si>
  <si>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</si>
  <si>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</si>
  <si>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</si>
  <si>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</si>
  <si>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</si>
  <si>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</si>
  <si>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</si>
  <si>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</si>
  <si>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</si>
  <si>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</si>
  <si>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</si>
  <si>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</si>
  <si>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</si>
  <si>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</si>
  <si>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</si>
  <si>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</si>
  <si>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</si>
  <si>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</si>
  <si>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</si>
  <si>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</si>
  <si>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</si>
  <si>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</si>
  <si>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</si>
  <si>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</si>
  <si>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</si>
  <si>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</si>
  <si>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</si>
  <si>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</si>
  <si>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</si>
  <si>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</si>
  <si>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</si>
  <si>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</si>
  <si>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</si>
  <si>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</si>
  <si>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</si>
  <si>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</si>
  <si>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</si>
  <si>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</si>
  <si>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</si>
  <si>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</si>
  <si>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</si>
  <si>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</si>
  <si>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</si>
  <si>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</si>
  <si>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</si>
  <si>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</si>
  <si>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</si>
  <si>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</si>
  <si>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</si>
  <si>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</si>
  <si>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</si>
  <si>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</si>
  <si>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</si>
  <si>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</si>
  <si>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</si>
  <si>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</si>
  <si>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</si>
  <si>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</si>
  <si>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</si>
  <si>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</si>
  <si>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</si>
  <si>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</si>
  <si>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</si>
  <si>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</si>
  <si>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</si>
  <si>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</si>
  <si>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</si>
  <si>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</si>
  <si>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</si>
  <si>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</si>
  <si>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</si>
  <si>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</si>
  <si>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</si>
  <si>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</si>
  <si>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</si>
  <si>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</si>
  <si>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</si>
  <si>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</si>
  <si>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</si>
  <si>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</si>
  <si>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</si>
  <si>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</si>
  <si>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</si>
  <si>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</si>
  <si>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</si>
  <si>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</si>
  <si>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</si>
  <si>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</si>
  <si>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</si>
  <si>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</si>
  <si>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</si>
  <si>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</si>
  <si>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</si>
  <si>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</si>
  <si>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</si>
  <si>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</si>
  <si>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</si>
  <si>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</si>
  <si>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</si>
  <si>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</si>
  <si>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</si>
  <si>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</si>
  <si>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</si>
  <si>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</si>
  <si>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</si>
  <si>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</si>
  <si>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</si>
  <si>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</si>
  <si>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</si>
  <si>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</si>
  <si>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</si>
  <si>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</si>
  <si>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</si>
  <si>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</si>
  <si>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</si>
  <si>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</si>
  <si>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</si>
  <si>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</si>
  <si>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</si>
  <si>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</si>
  <si>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</si>
  <si>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</si>
  <si>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</si>
  <si>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</si>
  <si>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</si>
  <si>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</si>
  <si>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</si>
  <si>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</si>
  <si>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</si>
  <si>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</si>
  <si>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</si>
  <si>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</si>
  <si>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</si>
  <si>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</si>
  <si>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</si>
  <si>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</si>
  <si>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</si>
  <si>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</si>
  <si>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</si>
  <si>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</si>
  <si>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</si>
  <si>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</si>
  <si>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</si>
  <si>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</si>
  <si>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</si>
  <si>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</si>
  <si>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</si>
  <si>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</si>
  <si>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</si>
  <si>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</si>
  <si>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</si>
  <si>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</si>
  <si>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</si>
  <si>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</si>
  <si>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</si>
  <si>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</si>
  <si>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</si>
  <si>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</si>
  <si>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</si>
  <si>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</si>
  <si>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</si>
  <si>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</si>
  <si>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</si>
  <si>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</si>
  <si>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</si>
  <si>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</si>
  <si>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</si>
  <si>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</si>
  <si>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</si>
  <si>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</si>
  <si>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</si>
  <si>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</si>
  <si>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</si>
  <si>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</si>
  <si>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</si>
  <si>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</si>
  <si>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</si>
  <si>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</si>
  <si>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</si>
  <si>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</si>
  <si>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</si>
  <si>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</si>
  <si>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</si>
  <si>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</si>
  <si>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</si>
  <si>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</si>
  <si>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</si>
  <si>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</si>
  <si>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</si>
  <si>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</si>
  <si>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</si>
  <si>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</si>
  <si>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</si>
  <si>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</si>
  <si>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</si>
  <si>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</si>
  <si>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</si>
  <si>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</si>
  <si>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</si>
  <si>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</si>
  <si>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</si>
  <si>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</si>
  <si>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</si>
  <si>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</si>
  <si>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</si>
  <si>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</si>
  <si>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</si>
  <si>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</si>
  <si>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</si>
  <si>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</si>
  <si>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</si>
  <si>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</si>
  <si>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</si>
  <si>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</si>
  <si>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</si>
  <si>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</si>
  <si>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</si>
  <si>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</si>
  <si>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</si>
  <si>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</si>
  <si>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</si>
  <si>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</si>
  <si>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</si>
  <si>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</si>
  <si>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</si>
  <si>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</si>
  <si>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</si>
  <si>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</si>
  <si>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</si>
  <si>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</si>
  <si>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</si>
  <si>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</si>
  <si>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</si>
  <si>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</si>
  <si>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</si>
  <si>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</si>
  <si>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</si>
  <si>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</si>
  <si>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</si>
  <si>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</si>
  <si>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</si>
  <si>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</si>
  <si>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</si>
  <si>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</si>
  <si>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</si>
  <si>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</si>
  <si>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</si>
  <si>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</si>
  <si>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</si>
  <si>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</si>
  <si>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</si>
  <si>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</si>
  <si>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</si>
  <si>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</si>
  <si>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</si>
  <si>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</si>
  <si>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</si>
  <si>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</si>
  <si>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</si>
  <si>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</si>
  <si>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</si>
  <si>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</si>
  <si>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</si>
  <si>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</si>
  <si>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</si>
  <si>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</si>
  <si>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</si>
  <si>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</si>
  <si>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</si>
  <si>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</si>
  <si>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</si>
  <si>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</si>
  <si>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</si>
  <si>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</si>
  <si>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</si>
  <si>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</si>
  <si>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</si>
  <si>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</si>
  <si>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</si>
  <si>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</si>
  <si>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</si>
  <si>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</si>
  <si>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</si>
  <si>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</si>
  <si>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</si>
  <si>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</si>
  <si>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</si>
  <si>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</si>
  <si>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</si>
  <si>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</si>
  <si>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</si>
  <si>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</si>
  <si>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</si>
  <si>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</si>
  <si>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</si>
  <si>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</si>
  <si>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</si>
  <si>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</si>
  <si>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</si>
  <si>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</si>
  <si>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</si>
  <si>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</si>
  <si>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</si>
  <si>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</si>
  <si>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</si>
  <si>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</si>
  <si>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</si>
  <si>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</si>
  <si>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</si>
  <si>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</si>
  <si>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</si>
  <si>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</si>
  <si>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</si>
  <si>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</si>
  <si>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</si>
  <si>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</si>
  <si>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</si>
  <si>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</si>
  <si>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</si>
  <si>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</si>
  <si>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</si>
  <si>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</si>
  <si>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</si>
  <si>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</si>
  <si>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</si>
  <si>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</si>
  <si>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</si>
  <si>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</si>
  <si>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</si>
  <si>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</si>
  <si>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</si>
  <si>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</si>
  <si>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</si>
  <si>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</si>
  <si>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</si>
  <si>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</si>
  <si>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</si>
  <si>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</si>
  <si>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</si>
  <si>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</si>
  <si>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</si>
  <si>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</si>
  <si>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</si>
  <si>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</si>
  <si>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</si>
  <si>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</si>
  <si>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</si>
  <si>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</si>
  <si>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</si>
  <si>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</si>
  <si>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</si>
  <si>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</si>
  <si>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</si>
  <si>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</si>
  <si>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</si>
  <si>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</si>
  <si>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</si>
  <si>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</si>
  <si>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</si>
  <si>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</si>
  <si>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</si>
  <si>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</si>
  <si>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</si>
  <si>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</si>
  <si>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</si>
  <si>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</si>
  <si>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</si>
  <si>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</si>
  <si>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</si>
  <si>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</si>
  <si>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</si>
  <si>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</si>
  <si>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</si>
  <si>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</si>
  <si>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</si>
  <si>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</si>
  <si>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</si>
  <si>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</si>
  <si>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</si>
  <si>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</si>
  <si>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</si>
  <si>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</si>
  <si>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</si>
  <si>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</si>
  <si>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</si>
  <si>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</si>
  <si>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</si>
  <si>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</si>
  <si>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</si>
  <si>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</si>
  <si>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</si>
  <si>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</si>
  <si>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</si>
  <si>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</si>
  <si>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</si>
  <si>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</si>
  <si>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</si>
  <si>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</si>
  <si>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</si>
  <si>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</si>
  <si>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</si>
  <si>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</si>
  <si>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</si>
  <si>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</si>
  <si>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</si>
  <si>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</si>
  <si>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</si>
  <si>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</si>
  <si>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</si>
  <si>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</si>
  <si>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</si>
  <si>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</si>
  <si>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</si>
  <si>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</si>
  <si>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</si>
  <si>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</si>
  <si>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</si>
  <si>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</si>
  <si>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</si>
  <si>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</si>
  <si>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</si>
  <si>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</si>
  <si>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</si>
  <si>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</si>
  <si>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</si>
  <si>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</si>
  <si>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</si>
  <si>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</si>
  <si>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</si>
  <si>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</si>
  <si>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</si>
  <si>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</si>
  <si>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</si>
  <si>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</si>
  <si>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</si>
  <si>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</si>
  <si>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</si>
  <si>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</si>
  <si>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</si>
  <si>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</si>
  <si>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</si>
  <si>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</si>
  <si>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</si>
  <si>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</si>
  <si>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</si>
  <si>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</si>
  <si>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</si>
  <si>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</si>
  <si>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</si>
  <si>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</si>
  <si>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</si>
  <si>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</si>
  <si>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</si>
  <si>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</si>
  <si>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</si>
  <si>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</si>
  <si>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</si>
  <si>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</si>
  <si>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</si>
  <si>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</si>
  <si>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</si>
  <si>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</si>
  <si>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</si>
  <si>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</si>
  <si>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</si>
  <si>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</si>
  <si>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</si>
  <si>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</si>
  <si>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</si>
  <si>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</si>
  <si>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</si>
  <si>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</si>
  <si>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</si>
  <si>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</si>
  <si>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</si>
  <si>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</si>
  <si>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</si>
  <si>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</si>
  <si>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</si>
  <si>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</si>
  <si>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</si>
  <si>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</si>
  <si>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</si>
  <si>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</si>
  <si>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</si>
  <si>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</si>
  <si>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</si>
  <si>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</si>
  <si>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</si>
  <si>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</si>
  <si>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</si>
  <si>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</si>
  <si>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</si>
  <si>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</si>
  <si>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</si>
  <si>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</si>
  <si>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</si>
  <si>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</si>
  <si>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</si>
  <si>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</si>
  <si>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</si>
  <si>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</si>
  <si>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</si>
  <si>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</si>
  <si>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</si>
  <si>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</si>
  <si>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</si>
  <si>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</si>
  <si>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</si>
  <si>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</si>
  <si>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</si>
  <si>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</si>
  <si>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</si>
  <si>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</si>
  <si>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</si>
  <si>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</si>
  <si>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</si>
  <si>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</si>
  <si>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</si>
  <si>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</si>
  <si>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</si>
  <si>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</si>
  <si>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</si>
  <si>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</si>
  <si>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</si>
  <si>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</si>
  <si>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</si>
  <si>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</si>
  <si>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</si>
  <si>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</si>
  <si>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</si>
  <si>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</si>
  <si>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</si>
  <si>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</si>
  <si>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</si>
  <si>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</si>
  <si>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</si>
  <si>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</si>
  <si>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</si>
  <si>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</si>
  <si>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</si>
  <si>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</si>
  <si>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</si>
  <si>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</si>
  <si>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</si>
  <si>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</si>
  <si>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</si>
  <si>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</si>
  <si>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</si>
  <si>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</si>
  <si>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</si>
  <si>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</si>
  <si>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</si>
  <si>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</si>
  <si>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</si>
  <si>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</si>
  <si>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</si>
  <si>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</si>
  <si>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</si>
  <si>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</si>
  <si>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</si>
  <si>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</si>
  <si>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</si>
  <si>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</si>
  <si>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</si>
  <si>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</si>
  <si>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</si>
  <si>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</si>
  <si>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</si>
  <si>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</si>
  <si>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</si>
  <si>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</si>
  <si>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</si>
  <si>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</si>
  <si>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</si>
  <si>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</si>
  <si>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</si>
  <si>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</si>
  <si>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</si>
  <si>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</si>
  <si>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</si>
  <si>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</si>
  <si>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</si>
  <si>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</si>
  <si>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</si>
  <si>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</si>
  <si>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</si>
  <si>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</si>
  <si>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</si>
  <si>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</si>
  <si>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</si>
  <si>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</si>
  <si>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</si>
  <si>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</si>
  <si>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</si>
  <si>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</si>
  <si>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</si>
  <si>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</si>
  <si>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</si>
  <si>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</si>
  <si>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</si>
  <si>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</si>
  <si>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</si>
  <si>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</si>
  <si>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</si>
  <si>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</si>
  <si>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</si>
  <si>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</si>
  <si>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</si>
  <si>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</si>
  <si>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</si>
  <si>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</si>
  <si>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</si>
  <si>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</si>
  <si>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</si>
  <si>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</si>
  <si>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</si>
  <si>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</si>
  <si>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</si>
  <si>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</si>
  <si>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</si>
  <si>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</si>
  <si>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</si>
  <si>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</si>
  <si>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</si>
  <si>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</si>
  <si>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</si>
  <si>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</si>
  <si>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</si>
  <si>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</si>
  <si>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</si>
  <si>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</si>
  <si>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</si>
  <si>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</si>
  <si>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</si>
  <si>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</si>
  <si>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</si>
  <si>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</si>
  <si>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</si>
  <si>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</si>
  <si>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</si>
  <si>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</si>
  <si>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</si>
  <si>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</si>
  <si>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</si>
  <si>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</si>
  <si>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</si>
  <si>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</si>
  <si>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</si>
  <si>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</si>
  <si>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</si>
  <si>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</si>
  <si>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</si>
  <si>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</si>
  <si>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</si>
  <si>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</si>
  <si>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</si>
  <si>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</si>
  <si>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</si>
  <si>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</si>
  <si>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</si>
  <si>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</si>
  <si>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</si>
  <si>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</si>
  <si>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</si>
  <si>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</si>
  <si>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</si>
  <si>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</si>
  <si>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</si>
  <si>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</si>
  <si>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</si>
  <si>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</si>
  <si>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</si>
  <si>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</si>
  <si>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</si>
  <si>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</si>
  <si>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</si>
  <si>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</si>
  <si>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</si>
  <si>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</si>
  <si>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</si>
  <si>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</si>
  <si>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</si>
  <si>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</si>
  <si>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</si>
  <si>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</si>
  <si>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</si>
  <si>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</si>
  <si>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</si>
  <si>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</si>
  <si>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</si>
  <si>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</si>
  <si>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</si>
  <si>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</si>
  <si>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</si>
  <si>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</si>
  <si>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</si>
  <si>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</si>
  <si>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</si>
  <si>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</si>
  <si>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</si>
  <si>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</si>
  <si>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</si>
  <si>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</si>
  <si>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</si>
  <si>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</si>
  <si>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</si>
  <si>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</si>
  <si>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</si>
  <si>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</si>
  <si>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</si>
  <si>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</si>
  <si>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</si>
  <si>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</si>
  <si>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</si>
  <si>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</si>
  <si>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</si>
  <si>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</si>
  <si>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</si>
  <si>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</si>
  <si>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</si>
  <si>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</si>
  <si>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</si>
  <si>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</si>
  <si>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</si>
  <si>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</si>
  <si>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</si>
  <si>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</si>
  <si>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</si>
  <si>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</si>
  <si>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</si>
  <si>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</si>
  <si>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</si>
  <si>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</si>
  <si>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</si>
  <si>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</si>
  <si>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</si>
  <si>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</si>
  <si>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</si>
  <si>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</si>
  <si>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</si>
  <si>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</si>
  <si>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</si>
  <si>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</si>
  <si>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</si>
  <si>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</si>
  <si>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</si>
  <si>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</si>
  <si>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</si>
  <si>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</si>
  <si>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</si>
  <si>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</si>
  <si>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</si>
  <si>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</si>
  <si>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</si>
  <si>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</si>
  <si>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</si>
  <si>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</si>
  <si>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</si>
  <si>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</si>
  <si>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</si>
  <si>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</si>
  <si>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</si>
  <si>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</si>
  <si>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</si>
  <si>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</si>
  <si>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</si>
  <si>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</si>
  <si>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</si>
  <si>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</si>
  <si>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</si>
  <si>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</si>
  <si>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</si>
  <si>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</si>
  <si>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</si>
  <si>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</si>
  <si>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</si>
  <si>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</si>
  <si>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</si>
  <si>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</si>
  <si>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</si>
  <si>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</si>
  <si>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</si>
  <si>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</si>
  <si>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</si>
  <si>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</si>
  <si>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</si>
  <si>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</si>
  <si>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</si>
  <si>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</si>
  <si>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</si>
  <si>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</si>
  <si>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</si>
  <si>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</si>
  <si>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</si>
  <si>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</si>
  <si>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</si>
  <si>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</si>
  <si>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</si>
  <si>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</si>
  <si>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</si>
  <si>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</si>
  <si>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</si>
  <si>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</si>
  <si>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</si>
  <si>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</si>
  <si>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</si>
  <si>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</si>
  <si>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</si>
  <si>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</si>
  <si>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</si>
  <si>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</si>
  <si>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</si>
  <si>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</si>
  <si>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</si>
  <si>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</si>
  <si>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</si>
  <si>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</si>
  <si>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</si>
  <si>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</si>
  <si>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</si>
  <si>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</si>
  <si>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</si>
  <si>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</si>
  <si>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</si>
  <si>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</si>
  <si>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</si>
  <si>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</si>
  <si>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</si>
  <si>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</si>
  <si>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</si>
  <si>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</si>
  <si>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</si>
  <si>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</si>
  <si>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</si>
  <si>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</si>
  <si>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</si>
  <si>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</si>
  <si>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</si>
  <si>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</si>
  <si>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</si>
  <si>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</si>
  <si>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</si>
  <si>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</si>
  <si>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</si>
  <si>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</si>
  <si>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</si>
  <si>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</si>
  <si>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</si>
  <si>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</si>
  <si>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</si>
  <si>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</si>
  <si>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</si>
  <si>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</si>
  <si>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</si>
  <si>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</si>
  <si>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</si>
  <si>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</si>
  <si>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</si>
  <si>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</si>
  <si>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</si>
  <si>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</si>
  <si>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</si>
  <si>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</si>
  <si>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</si>
  <si>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</si>
  <si>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</si>
  <si>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</si>
  <si>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</si>
  <si>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</si>
  <si>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</si>
  <si>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</si>
  <si>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</si>
  <si>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</si>
  <si>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</si>
  <si>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</si>
  <si>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</si>
  <si>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</si>
  <si>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</si>
  <si>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</si>
  <si>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</si>
  <si>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</si>
  <si>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</si>
  <si>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</si>
  <si>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</si>
  <si>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</si>
  <si>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</si>
  <si>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</si>
  <si>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</si>
  <si>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</si>
  <si>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</si>
  <si>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</si>
  <si>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</si>
  <si>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</si>
  <si>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</si>
  <si>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</si>
  <si>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</si>
  <si>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</si>
  <si>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</si>
  <si>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</si>
  <si>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</si>
  <si>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</si>
  <si>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</si>
  <si>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</si>
  <si>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</si>
  <si>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</si>
  <si>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</si>
  <si>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</si>
  <si>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</si>
  <si>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</si>
  <si>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</si>
  <si>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</si>
  <si>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</si>
  <si>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</si>
  <si>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</si>
  <si>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</si>
  <si>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</si>
  <si>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</si>
  <si>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</si>
  <si>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</si>
  <si>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</si>
  <si>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</si>
  <si>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</si>
  <si>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</si>
  <si>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</si>
  <si>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</si>
  <si>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</si>
  <si>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</si>
  <si>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</si>
  <si>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</si>
  <si>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</si>
  <si>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</si>
  <si>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</si>
  <si>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</si>
  <si>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</si>
  <si>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</si>
  <si>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</si>
  <si>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</si>
  <si>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</si>
  <si>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</si>
  <si>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</si>
  <si>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</si>
  <si>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</si>
  <si>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</si>
  <si>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</si>
  <si>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</si>
  <si>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</si>
  <si>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</si>
  <si>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</si>
  <si>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</si>
  <si>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</si>
  <si>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</si>
  <si>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</si>
  <si>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</si>
  <si>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</si>
  <si>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</si>
  <si>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</si>
  <si>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</si>
  <si>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</si>
  <si>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</si>
  <si>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</si>
  <si>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</si>
  <si>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</si>
  <si>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</si>
  <si>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</si>
  <si>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</si>
  <si>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</si>
  <si>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</si>
  <si>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</si>
  <si>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</si>
  <si>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</si>
  <si>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</si>
  <si>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</si>
  <si>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</si>
  <si>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</si>
  <si>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</si>
  <si>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</si>
  <si>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</si>
  <si>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</si>
  <si>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</si>
  <si>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</si>
  <si>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</si>
  <si>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</si>
  <si>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</si>
  <si>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</si>
  <si>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</si>
  <si>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</si>
  <si>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</si>
  <si>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</si>
  <si>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</si>
  <si>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</si>
  <si>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</si>
  <si>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</si>
  <si>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</si>
  <si>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</si>
  <si>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</si>
  <si>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</si>
  <si>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</si>
  <si>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</si>
  <si>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</si>
  <si>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</si>
  <si>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</si>
  <si>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</si>
  <si>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</si>
  <si>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</si>
  <si>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</si>
  <si>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</si>
  <si>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</si>
  <si>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</si>
  <si>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</si>
  <si>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</si>
  <si>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</si>
  <si>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</si>
  <si>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</si>
  <si>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</si>
  <si>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</si>
  <si>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</si>
  <si>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</si>
  <si>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</si>
  <si>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</si>
  <si>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</si>
  <si>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</si>
  <si>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</si>
  <si>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</si>
  <si>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</si>
  <si>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</si>
  <si>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</si>
  <si>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</si>
  <si>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</si>
  <si>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</si>
  <si>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</si>
  <si>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</si>
  <si>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</si>
  <si>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</si>
  <si>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</si>
  <si>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</si>
  <si>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</si>
  <si>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</si>
  <si>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</si>
  <si>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</si>
  <si>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</si>
  <si>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</si>
  <si>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</si>
  <si>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</si>
  <si>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</si>
  <si>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</si>
  <si>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</si>
  <si>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</si>
  <si>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</si>
  <si>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</si>
  <si>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</si>
  <si>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</si>
  <si>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</si>
  <si>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</si>
  <si>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</si>
  <si>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</si>
  <si>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</si>
  <si>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</si>
  <si>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</si>
  <si>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</si>
  <si>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</si>
  <si>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</si>
  <si>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</si>
  <si>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</si>
  <si>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</si>
  <si>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</si>
  <si>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</si>
  <si>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</si>
  <si>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</si>
  <si>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</si>
  <si>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</si>
  <si>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</si>
  <si>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</si>
  <si>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</si>
  <si>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</si>
  <si>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</si>
  <si>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</si>
  <si>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</si>
  <si>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</si>
  <si>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</si>
  <si>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</si>
  <si>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</si>
  <si>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</si>
  <si>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</si>
  <si>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</si>
  <si>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</si>
  <si>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</si>
  <si>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</si>
  <si>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</si>
  <si>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</si>
  <si>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</si>
  <si>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</si>
  <si>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</si>
  <si>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</si>
  <si>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</si>
  <si>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</si>
  <si>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</si>
  <si>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</si>
  <si>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</si>
  <si>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</si>
  <si>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</si>
  <si>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</si>
  <si>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</si>
  <si>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</si>
  <si>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</si>
  <si>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</si>
  <si>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</si>
  <si>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</si>
  <si>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</si>
  <si>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</si>
  <si>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</si>
  <si>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</si>
  <si>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</si>
  <si>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</si>
  <si>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</si>
  <si>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</si>
  <si>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</si>
  <si>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</si>
  <si>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</si>
  <si>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</si>
  <si>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</si>
  <si>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</si>
  <si>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</si>
  <si>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</si>
  <si>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</si>
  <si>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</si>
  <si>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</si>
  <si>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</si>
  <si>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</si>
  <si>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</si>
  <si>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</si>
  <si>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</si>
  <si>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</si>
  <si>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</si>
  <si>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</si>
  <si>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</si>
  <si>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</si>
  <si>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</si>
  <si>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</si>
  <si>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</si>
  <si>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</si>
  <si>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</si>
  <si>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</si>
  <si>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</si>
  <si>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</si>
  <si>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</si>
  <si>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</si>
  <si>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</si>
  <si>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</si>
  <si>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</si>
  <si>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</si>
  <si>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</si>
  <si>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</si>
  <si>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</si>
  <si>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</si>
  <si>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</si>
  <si>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</si>
  <si>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</si>
  <si>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</si>
  <si>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</si>
  <si>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</si>
  <si>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</si>
  <si>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</si>
  <si>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</si>
  <si>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</si>
  <si>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</si>
  <si>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</si>
  <si>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</si>
  <si>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</si>
  <si>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</si>
  <si>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</si>
  <si>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</si>
  <si>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</si>
  <si>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</si>
  <si>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</si>
  <si>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</si>
  <si>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</si>
  <si>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</si>
  <si>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</si>
  <si>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</si>
  <si>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</si>
  <si>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</si>
  <si>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</si>
  <si>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</si>
  <si>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</si>
  <si>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</si>
  <si>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</si>
  <si>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</si>
  <si>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</si>
  <si>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</si>
  <si>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</si>
  <si>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</si>
  <si>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</si>
  <si>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</si>
  <si>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</si>
  <si>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</si>
  <si>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</si>
  <si>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</si>
  <si>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</si>
  <si>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</si>
  <si>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</si>
  <si>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</si>
  <si>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</si>
  <si>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</si>
  <si>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</si>
  <si>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</si>
  <si>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</si>
  <si>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</si>
  <si>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</si>
  <si>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</si>
  <si>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</si>
  <si>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</si>
  <si>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</si>
  <si>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</si>
  <si>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</si>
  <si>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</si>
  <si>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</si>
  <si>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</si>
  <si>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</si>
  <si>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</si>
  <si>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</si>
  <si>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</si>
  <si>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</si>
  <si>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</si>
  <si>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</si>
  <si>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</si>
  <si>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</si>
  <si>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</si>
  <si>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</si>
  <si>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</si>
  <si>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</si>
  <si>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</si>
  <si>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</si>
  <si>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</si>
  <si>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</si>
  <si>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</si>
  <si>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</si>
  <si>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</si>
  <si>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</si>
  <si>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</si>
  <si>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</si>
  <si>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</si>
  <si>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</si>
  <si>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</si>
  <si>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</si>
  <si>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</si>
  <si>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</si>
  <si>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</si>
  <si>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</si>
  <si>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</si>
  <si>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</si>
  <si>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</si>
  <si>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</si>
  <si>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</si>
  <si>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</si>
  <si>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</si>
  <si>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</si>
  <si>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</si>
  <si>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</si>
  <si>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</si>
  <si>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</si>
  <si>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</si>
  <si>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</si>
  <si>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</si>
  <si>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</si>
  <si>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</si>
  <si>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</si>
  <si>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</si>
  <si>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</si>
  <si>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</si>
  <si>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</si>
  <si>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</si>
  <si>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</si>
  <si>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</si>
  <si>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</si>
  <si>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</si>
  <si>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</si>
  <si>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</si>
  <si>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</si>
  <si>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</si>
  <si>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</si>
  <si>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</si>
  <si>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</si>
  <si>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</si>
  <si>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</si>
  <si>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</si>
  <si>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</si>
  <si>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</si>
  <si>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</si>
  <si>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</si>
  <si>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</si>
  <si>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</si>
  <si>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</si>
  <si>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</si>
  <si>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</si>
  <si>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</si>
  <si>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</si>
  <si>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</si>
  <si>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</si>
  <si>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</si>
  <si>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</si>
  <si>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</si>
  <si>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</si>
  <si>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</si>
  <si>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</si>
  <si>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</si>
  <si>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</si>
  <si>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</si>
  <si>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</si>
  <si>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</si>
  <si>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</si>
  <si>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</si>
  <si>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</si>
  <si>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</si>
  <si>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</si>
  <si>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</si>
  <si>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</si>
  <si>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</si>
  <si>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</si>
  <si>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</si>
  <si>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</si>
  <si>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</si>
  <si>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</si>
  <si>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</si>
  <si>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</si>
  <si>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</si>
  <si>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</si>
  <si>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</si>
  <si>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</si>
  <si>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</si>
  <si>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</si>
  <si>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</si>
  <si>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</si>
  <si>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</si>
  <si>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</si>
  <si>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</si>
  <si>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</si>
  <si>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</si>
  <si>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</si>
  <si>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</si>
  <si>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</si>
  <si>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</si>
  <si>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</si>
  <si>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</si>
  <si>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</si>
  <si>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</si>
  <si>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</si>
  <si>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</si>
  <si>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</si>
  <si>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</si>
  <si>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</si>
  <si>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</si>
  <si>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</si>
  <si>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</si>
  <si>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</si>
  <si>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</si>
  <si>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</si>
  <si>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</si>
  <si>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</si>
  <si>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</si>
  <si>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</si>
  <si>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</si>
  <si>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</si>
  <si>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</si>
  <si>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</si>
  <si>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</si>
  <si>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</si>
  <si>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</si>
  <si>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</si>
  <si>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</si>
  <si>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</si>
  <si>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</si>
  <si>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</si>
  <si>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</si>
  <si>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</si>
  <si>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</si>
  <si>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</si>
  <si>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</si>
  <si>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</si>
  <si>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</si>
  <si>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</si>
  <si>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</si>
  <si>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</si>
  <si>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</si>
  <si>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</si>
  <si>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</si>
  <si>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</si>
  <si>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</si>
  <si>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</si>
  <si>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</si>
  <si>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</si>
  <si>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</si>
  <si>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</si>
  <si>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</si>
  <si>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</si>
  <si>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</si>
  <si>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</si>
  <si>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</si>
  <si>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</si>
  <si>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</si>
  <si>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</si>
  <si>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</si>
  <si>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</si>
  <si>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</si>
  <si>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</si>
  <si>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</si>
  <si>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</si>
  <si>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</si>
  <si>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</si>
  <si>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</si>
  <si>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</si>
  <si>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</si>
  <si>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</si>
  <si>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</si>
  <si>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</si>
  <si>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</si>
  <si>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</si>
  <si>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</si>
  <si>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</si>
  <si>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</si>
  <si>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</si>
  <si>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</si>
  <si>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</si>
  <si>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</si>
  <si>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</si>
  <si>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</si>
  <si>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</si>
  <si>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</si>
  <si>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</si>
  <si>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</si>
  <si>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</si>
  <si>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</si>
  <si>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</si>
  <si>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</si>
  <si>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</si>
  <si>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</si>
  <si>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</si>
  <si>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</si>
  <si>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</si>
  <si>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</si>
  <si>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</si>
  <si>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</si>
  <si>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</si>
  <si>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</si>
  <si>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</si>
  <si>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</si>
  <si>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</si>
  <si>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</si>
  <si>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</si>
  <si>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</si>
  <si>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</si>
  <si>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</si>
  <si>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</si>
  <si>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</si>
  <si>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</si>
  <si>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</si>
  <si>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</si>
  <si>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</si>
  <si>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</si>
  <si>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</si>
  <si>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</si>
  <si>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</si>
  <si>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</si>
  <si>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</si>
  <si>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</si>
  <si>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</si>
  <si>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</si>
  <si>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</si>
  <si>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</si>
  <si>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</si>
  <si>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</si>
  <si>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</si>
  <si>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</si>
  <si>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</si>
  <si>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</si>
  <si>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</si>
  <si>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</si>
  <si>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</si>
  <si>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</si>
  <si>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</si>
  <si>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</si>
  <si>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</si>
  <si>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</si>
  <si>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</si>
  <si>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</si>
  <si>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</si>
  <si>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</si>
  <si>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</si>
  <si>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</si>
  <si>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</si>
  <si>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</si>
  <si>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</si>
  <si>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</si>
  <si>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</si>
  <si>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</si>
  <si>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</si>
  <si>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</si>
  <si>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</si>
  <si>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</si>
  <si>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</si>
  <si>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</si>
  <si>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</si>
  <si>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</si>
  <si>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</si>
  <si>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</si>
  <si>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</si>
  <si>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</si>
  <si>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</si>
  <si>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</si>
  <si>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</si>
  <si>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</si>
  <si>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</si>
  <si>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</si>
  <si>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</si>
  <si>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</si>
  <si>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</si>
  <si>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</si>
  <si>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</si>
  <si>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</si>
  <si>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</si>
  <si>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</si>
  <si>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</si>
  <si>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</si>
  <si>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</si>
  <si>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</si>
  <si>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</si>
  <si>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</si>
  <si>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</si>
  <si>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</si>
  <si>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</si>
  <si>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</si>
  <si>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</si>
  <si>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</si>
  <si>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</si>
  <si>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</si>
  <si>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</si>
  <si>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</si>
  <si>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</si>
  <si>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</si>
  <si>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</si>
  <si>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</si>
  <si>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</si>
  <si>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</si>
  <si>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</si>
  <si>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</si>
  <si>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</si>
  <si>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</si>
  <si>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</si>
  <si>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</si>
  <si>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</si>
  <si>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</si>
  <si>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</si>
  <si>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</si>
  <si>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</si>
  <si>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</si>
  <si>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</si>
  <si>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</si>
  <si>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</si>
  <si>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</si>
  <si>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</si>
  <si>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</si>
  <si>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</si>
  <si>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</si>
  <si>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</si>
  <si>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</si>
  <si>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</si>
  <si>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</si>
  <si>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</si>
  <si>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</si>
  <si>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</si>
  <si>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</si>
  <si>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</si>
  <si>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</si>
  <si>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</si>
  <si>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</si>
  <si>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</si>
  <si>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</si>
  <si>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</si>
  <si>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</si>
  <si>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</si>
  <si>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</si>
  <si>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</si>
  <si>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</si>
  <si>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</si>
  <si>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</si>
  <si>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</si>
  <si>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</si>
  <si>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</si>
  <si>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</si>
  <si>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</si>
  <si>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</si>
  <si>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</si>
  <si>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</si>
  <si>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</si>
  <si>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</si>
  <si>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</si>
  <si>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</si>
  <si>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</si>
  <si>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</si>
  <si>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</si>
  <si>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</si>
  <si>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</si>
  <si>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</si>
  <si>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</si>
  <si>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</si>
  <si>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</si>
  <si>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</si>
  <si>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</si>
  <si>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</si>
  <si>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</si>
  <si>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</si>
  <si>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</si>
  <si>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</si>
  <si>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</si>
  <si>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</si>
  <si>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</si>
  <si>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</si>
  <si>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</si>
  <si>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</si>
  <si>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</si>
  <si>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</si>
  <si>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</si>
  <si>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</si>
  <si>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</si>
  <si>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</si>
  <si>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</si>
  <si>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</si>
  <si>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</si>
  <si>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</si>
  <si>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</si>
  <si>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</si>
  <si>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</si>
  <si>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</si>
  <si>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</si>
  <si>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</si>
  <si>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</si>
  <si>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</si>
  <si>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</si>
  <si>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</si>
  <si>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</si>
  <si>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</si>
  <si>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</si>
  <si>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</si>
  <si>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</si>
  <si>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</si>
  <si>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</si>
  <si>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</si>
  <si>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</si>
  <si>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</si>
  <si>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</si>
  <si>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</si>
  <si>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</si>
  <si>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</si>
  <si>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</si>
  <si>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</si>
  <si>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</si>
  <si>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</si>
  <si>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</si>
  <si>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</si>
  <si>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</si>
  <si>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</si>
  <si>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</si>
  <si>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</si>
  <si>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</si>
  <si>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</si>
  <si>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</si>
  <si>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</si>
  <si>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</si>
  <si>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</si>
  <si>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</si>
  <si>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</si>
  <si>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</si>
  <si>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</si>
  <si>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</si>
  <si>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</si>
  <si>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</si>
  <si>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</si>
  <si>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</si>
  <si>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</si>
  <si>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</si>
  <si>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</si>
  <si>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</si>
  <si>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</si>
  <si>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</si>
  <si>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</si>
  <si>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</si>
  <si>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</si>
  <si>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</si>
  <si>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</si>
  <si>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</si>
  <si>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</si>
  <si>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</si>
  <si>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</si>
  <si>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</si>
  <si>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</si>
  <si>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</si>
  <si>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</si>
  <si>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</si>
  <si>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</si>
  <si>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</si>
  <si>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</si>
  <si>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</si>
  <si>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</si>
  <si>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</si>
  <si>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</si>
  <si>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</si>
  <si>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</si>
  <si>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</si>
  <si>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</si>
  <si>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</si>
  <si>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</si>
  <si>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</si>
  <si>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</si>
  <si>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</si>
  <si>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</si>
  <si>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</si>
  <si>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</si>
  <si>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</si>
  <si>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</si>
  <si>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</si>
  <si>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</si>
  <si>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</si>
  <si>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</si>
  <si>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</si>
  <si>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</si>
  <si>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</si>
  <si>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</si>
  <si>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</si>
  <si>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</si>
  <si>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</si>
  <si>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</si>
  <si>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</si>
  <si>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</si>
  <si>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</si>
  <si>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</si>
  <si>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</si>
  <si>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</si>
  <si>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</si>
  <si>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</si>
  <si>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</si>
  <si>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</si>
  <si>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</si>
  <si>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</si>
  <si>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</si>
  <si>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</si>
  <si>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</si>
  <si>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</si>
  <si>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</si>
  <si>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</si>
  <si>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</si>
  <si>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</si>
  <si>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</si>
  <si>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</si>
  <si>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</si>
  <si>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</si>
  <si>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</si>
  <si>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</si>
  <si>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</si>
  <si>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</si>
  <si>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</si>
  <si>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</si>
  <si>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</si>
  <si>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</si>
  <si>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</si>
  <si>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</si>
  <si>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</si>
  <si>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</si>
  <si>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</si>
  <si>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</si>
  <si>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</si>
  <si>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</si>
  <si>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</si>
  <si>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</si>
  <si>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</si>
  <si>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</si>
  <si>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</si>
  <si>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</si>
  <si>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</si>
  <si>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</si>
  <si>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</si>
  <si>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</si>
  <si>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</si>
  <si>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</si>
  <si>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</si>
  <si>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</si>
  <si>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</si>
  <si>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</si>
  <si>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</si>
  <si>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</si>
  <si>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</si>
  <si>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</si>
  <si>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</si>
  <si>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</si>
  <si>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</si>
  <si>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</si>
  <si>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</si>
  <si>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</si>
  <si>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</si>
  <si>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</si>
  <si>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</si>
  <si>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</si>
  <si>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</si>
  <si>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</si>
  <si>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</si>
  <si>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</si>
  <si>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</si>
  <si>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</si>
  <si>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</si>
  <si>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</si>
  <si>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</si>
  <si>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</si>
  <si>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</si>
  <si>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</si>
  <si>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</si>
  <si>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</si>
  <si>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</si>
  <si>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</si>
  <si>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</si>
  <si>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</si>
  <si>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</si>
  <si>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</si>
  <si>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</si>
  <si>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</si>
  <si>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</si>
  <si>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</si>
  <si>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</si>
  <si>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</si>
  <si>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</si>
  <si>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</si>
  <si>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</si>
  <si>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</si>
  <si>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</si>
  <si>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</si>
  <si>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</si>
  <si>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</si>
  <si>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</si>
  <si>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</si>
  <si>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</si>
  <si>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</si>
  <si>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</si>
  <si>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</si>
  <si>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</si>
  <si>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</si>
  <si>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</si>
  <si>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</si>
  <si>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</si>
  <si>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</si>
  <si>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</si>
  <si>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</si>
  <si>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</si>
  <si>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</si>
  <si>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</si>
  <si>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</si>
  <si>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</si>
  <si>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</si>
  <si>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</si>
  <si>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</si>
  <si>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</si>
  <si>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</si>
  <si>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</si>
  <si>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</si>
  <si>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</si>
  <si>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</si>
  <si>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</si>
  <si>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</si>
  <si>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</si>
  <si>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</si>
  <si>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</si>
  <si>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</si>
  <si>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</si>
  <si>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</si>
  <si>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</si>
  <si>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</si>
  <si>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</si>
  <si>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</si>
  <si>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</si>
  <si>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</si>
  <si>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</si>
  <si>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</si>
  <si>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</si>
  <si>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</si>
  <si>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</si>
  <si>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</si>
  <si>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</si>
  <si>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</si>
  <si>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</si>
  <si>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</si>
  <si>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</si>
  <si>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</si>
  <si>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</si>
  <si>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</si>
  <si>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</si>
  <si>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</si>
  <si>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</si>
  <si>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</si>
  <si>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</si>
  <si>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</si>
  <si>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</si>
  <si>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</si>
  <si>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</si>
  <si>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</si>
  <si>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</si>
  <si>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</si>
  <si>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</si>
  <si>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</si>
  <si>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</si>
  <si>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</si>
  <si>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</si>
  <si>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</si>
  <si>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</si>
  <si>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</si>
  <si>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</si>
  <si>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</si>
  <si>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</si>
  <si>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</si>
  <si>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</si>
  <si>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</si>
  <si>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</si>
  <si>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</si>
  <si>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</si>
  <si>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</si>
  <si>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</si>
  <si>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</si>
  <si>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</si>
  <si>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</si>
  <si>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</si>
  <si>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</si>
  <si>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</si>
  <si>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</si>
  <si>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</si>
  <si>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</si>
  <si>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</si>
  <si>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</si>
  <si>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</si>
  <si>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</si>
  <si>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</si>
  <si>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</si>
  <si>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</si>
  <si>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</si>
  <si>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</si>
  <si>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</si>
  <si>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</si>
  <si>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</si>
  <si>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</si>
  <si>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</si>
  <si>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</si>
  <si>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</si>
  <si>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</si>
  <si>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</si>
  <si>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</si>
  <si>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</si>
  <si>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</si>
  <si>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</si>
  <si>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</si>
  <si>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</si>
  <si>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</si>
  <si>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</si>
  <si>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</si>
  <si>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</si>
  <si>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</si>
  <si>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</si>
  <si>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</si>
  <si>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</si>
  <si>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</si>
  <si>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</si>
  <si>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</si>
  <si>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</si>
  <si>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</si>
  <si>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</si>
  <si>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</si>
  <si>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</si>
  <si>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</si>
  <si>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</si>
  <si>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</si>
  <si>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</si>
  <si>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</si>
  <si>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</si>
  <si>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</si>
  <si>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</si>
  <si>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</si>
  <si>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</si>
  <si>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</si>
  <si>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</si>
  <si>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</si>
  <si>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</si>
  <si>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</si>
  <si>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</si>
  <si>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</si>
  <si>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</si>
  <si>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</si>
  <si>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</si>
  <si>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</si>
  <si>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</si>
  <si>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</si>
  <si>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</si>
  <si>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</si>
  <si>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</si>
  <si>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</si>
  <si>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</si>
  <si>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</si>
  <si>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</si>
  <si>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</si>
  <si>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</si>
  <si>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</si>
  <si>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</si>
  <si>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</si>
  <si>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</si>
  <si>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</si>
  <si>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</si>
  <si>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</si>
  <si>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</si>
  <si>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</si>
  <si>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</si>
  <si>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</si>
  <si>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</si>
  <si>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</si>
  <si>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</si>
  <si>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</si>
  <si>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</si>
  <si>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</si>
  <si>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</si>
  <si>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</si>
  <si>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</si>
  <si>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</si>
  <si>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</si>
  <si>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</si>
  <si>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</si>
  <si>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</si>
  <si>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</si>
  <si>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</si>
  <si>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</si>
  <si>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</si>
  <si>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</si>
  <si>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</si>
  <si>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</si>
  <si>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</si>
  <si>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</si>
  <si>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</si>
  <si>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</si>
  <si>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</si>
  <si>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</si>
  <si>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</si>
  <si>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</si>
  <si>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</si>
  <si>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</si>
  <si>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</si>
  <si>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</si>
  <si>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</si>
  <si>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</si>
  <si>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</si>
  <si>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</si>
  <si>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</si>
  <si>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</si>
  <si>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</si>
  <si>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</si>
  <si>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</si>
  <si>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</si>
  <si>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</si>
  <si>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</si>
  <si>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</si>
  <si>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</si>
  <si>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</si>
  <si>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</si>
  <si>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</si>
  <si>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</si>
  <si>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</si>
  <si>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</si>
  <si>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</si>
  <si>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</si>
  <si>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</si>
  <si>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</si>
  <si>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</si>
  <si>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</si>
  <si>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</si>
  <si>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</si>
  <si>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</si>
  <si>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</si>
  <si>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</si>
  <si>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</si>
  <si>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</si>
  <si>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</si>
  <si>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</si>
  <si>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</si>
  <si>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</si>
  <si>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</si>
  <si>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</si>
  <si>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</si>
  <si>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</si>
  <si>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</si>
  <si>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</si>
  <si>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</si>
  <si>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</si>
  <si>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</si>
  <si>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</si>
  <si>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</si>
  <si>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</si>
  <si>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</si>
  <si>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</si>
  <si>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</si>
  <si>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</si>
  <si>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</si>
  <si>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</si>
  <si>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</si>
  <si>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</si>
  <si>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</si>
  <si>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</si>
  <si>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</si>
  <si>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</si>
  <si>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</si>
  <si>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</si>
  <si>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</si>
  <si>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</si>
  <si>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</si>
  <si>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</si>
  <si>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</si>
  <si>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</si>
  <si>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</si>
  <si>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</si>
  <si>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</si>
  <si>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</si>
  <si>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</si>
  <si>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</si>
  <si>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</si>
  <si>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</si>
  <si>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</si>
  <si>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</si>
  <si>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</si>
  <si>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</si>
  <si>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</si>
  <si>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</si>
  <si>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</si>
  <si>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</si>
  <si>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</si>
  <si>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</si>
  <si>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</si>
  <si>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</si>
  <si>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</si>
  <si>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</si>
  <si>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</si>
  <si>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</si>
  <si>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</si>
  <si>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</si>
  <si>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</si>
  <si>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</si>
  <si>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</si>
  <si>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</si>
  <si>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</si>
  <si>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</si>
  <si>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</si>
  <si>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</si>
  <si>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</si>
  <si>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</si>
  <si>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</si>
  <si>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</si>
  <si>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</si>
  <si>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</si>
  <si>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</si>
  <si>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</si>
  <si>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</si>
  <si>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</si>
  <si>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</si>
  <si>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</si>
  <si>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</si>
  <si>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</si>
  <si>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</si>
  <si>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</si>
  <si>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</si>
  <si>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</si>
  <si>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</si>
  <si>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</si>
  <si>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</si>
  <si>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</si>
  <si>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</si>
  <si>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</si>
  <si>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</si>
  <si>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</si>
  <si>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</si>
  <si>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</si>
  <si>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</si>
  <si>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</si>
  <si>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</si>
  <si>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</si>
  <si>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</si>
  <si>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</si>
  <si>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</si>
  <si>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</si>
  <si>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</si>
  <si>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</si>
  <si>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</si>
  <si>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</si>
  <si>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</si>
  <si>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</si>
  <si>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</si>
  <si>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</si>
  <si>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</si>
  <si>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</si>
  <si>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</si>
  <si>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</si>
  <si>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</si>
  <si>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</si>
  <si>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</si>
  <si>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</si>
  <si>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</si>
  <si>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</si>
  <si>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</si>
  <si>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</si>
  <si>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</si>
  <si>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</si>
  <si>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</si>
  <si>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</si>
  <si>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</si>
  <si>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</si>
  <si>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</si>
  <si>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</si>
  <si>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</si>
  <si>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</si>
  <si>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</si>
  <si>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</si>
  <si>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</si>
  <si>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</si>
  <si>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</si>
  <si>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</si>
  <si>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</si>
  <si>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</si>
  <si>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</si>
  <si>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</si>
  <si>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</si>
  <si>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</si>
  <si>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</si>
  <si>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</si>
  <si>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</si>
  <si>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</si>
  <si>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</si>
  <si>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</si>
  <si>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</si>
  <si>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</si>
  <si>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</si>
  <si>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</si>
  <si>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</si>
  <si>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</si>
  <si>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</si>
  <si>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</si>
  <si>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</si>
  <si>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</si>
  <si>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</si>
  <si>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</si>
  <si>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</si>
  <si>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</si>
  <si>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</si>
  <si>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</si>
  <si>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</si>
  <si>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</si>
  <si>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</si>
  <si>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</si>
  <si>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</si>
  <si>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</si>
  <si>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</si>
  <si>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</si>
  <si>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</si>
  <si>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</si>
  <si>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</si>
  <si>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</si>
  <si>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</si>
  <si>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</si>
  <si>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</si>
  <si>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</si>
  <si>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</si>
  <si>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</si>
  <si>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</si>
  <si>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</si>
  <si>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</si>
  <si>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</si>
  <si>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</si>
  <si>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</si>
  <si>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</si>
  <si>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</si>
  <si>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</si>
  <si>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</si>
  <si>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</si>
  <si>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</si>
  <si>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</si>
  <si>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</si>
  <si>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</si>
  <si>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</si>
  <si>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</si>
  <si>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</si>
  <si>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</si>
  <si>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</si>
  <si>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</si>
  <si>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</si>
  <si>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</si>
  <si>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</si>
  <si>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</si>
  <si>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</si>
  <si>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</si>
  <si>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</si>
  <si>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</si>
  <si>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</si>
  <si>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</si>
  <si>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</si>
  <si>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</si>
  <si>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</si>
  <si>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</si>
  <si>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</si>
  <si>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</si>
  <si>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</si>
  <si>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</si>
  <si>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</si>
  <si>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</si>
  <si>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</si>
  <si>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</si>
  <si>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</si>
  <si>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</si>
  <si>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</si>
  <si>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</si>
  <si>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</si>
  <si>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</si>
  <si>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</si>
  <si>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</si>
  <si>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</si>
  <si>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</si>
  <si>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</si>
  <si>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</si>
  <si>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</si>
  <si>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</si>
  <si>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</si>
  <si>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</si>
  <si>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</si>
  <si>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</si>
  <si>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</si>
  <si>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</si>
  <si>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</si>
  <si>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</si>
  <si>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</si>
  <si>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</si>
  <si>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</si>
  <si>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</si>
  <si>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</si>
  <si>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</si>
  <si>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</si>
  <si>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</si>
  <si>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</si>
  <si>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</si>
  <si>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</si>
  <si>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</si>
  <si>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</si>
  <si>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</si>
  <si>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</si>
  <si>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</si>
  <si>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</si>
  <si>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</si>
  <si>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</si>
  <si>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</si>
  <si>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</si>
  <si>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</si>
  <si>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</si>
  <si>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</si>
  <si>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</si>
  <si>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</si>
  <si>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</si>
  <si>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</si>
  <si>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</si>
  <si>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</si>
  <si>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</si>
  <si>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</si>
  <si>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</si>
  <si>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</si>
  <si>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</si>
  <si>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</si>
  <si>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</si>
  <si>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</si>
  <si>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</si>
  <si>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</si>
  <si>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</si>
  <si>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</si>
  <si>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</si>
  <si>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</si>
  <si>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</si>
  <si>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</si>
  <si>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</si>
  <si>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</si>
  <si>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</si>
  <si>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</si>
  <si>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</si>
  <si>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</si>
  <si>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</si>
  <si>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</si>
  <si>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</si>
  <si>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</si>
  <si>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</si>
  <si>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</si>
  <si>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</si>
  <si>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</si>
  <si>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</si>
  <si>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</si>
  <si>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</si>
  <si>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</si>
  <si>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</si>
  <si>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</si>
  <si>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</si>
  <si>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</si>
  <si>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</si>
  <si>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</si>
  <si>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</si>
  <si>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</si>
  <si>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</si>
  <si>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</si>
  <si>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</si>
  <si>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</si>
  <si>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</si>
  <si>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</si>
  <si>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</si>
  <si>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</si>
  <si>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</si>
  <si>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</si>
  <si>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</si>
  <si>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</si>
  <si>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</si>
  <si>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不临街</t>
  </si>
  <si>
    <t>企业</t>
  </si>
  <si>
    <t>不临65条商业街</t>
  </si>
  <si>
    <t>容积率修正</t>
  </si>
  <si>
    <t>平整</t>
  </si>
  <si>
    <t>全部缴纳</t>
  </si>
  <si>
    <t>成本法</t>
  </si>
  <si>
    <t>商业</t>
    <phoneticPr fontId="7" type="noConversion"/>
  </si>
  <si>
    <t>收益法</t>
  </si>
  <si>
    <t>总价</t>
  </si>
  <si>
    <t>成本比率</t>
  </si>
  <si>
    <t>燃气</t>
  </si>
  <si>
    <t>情况3</t>
  </si>
  <si>
    <t>自行开发建设</t>
  </si>
  <si>
    <t>非个人房产</t>
  </si>
  <si>
    <t>企业提供（在右侧录入）</t>
  </si>
  <si>
    <t>出让金+开发费</t>
  </si>
  <si>
    <t>面积</t>
  </si>
  <si>
    <t>1幢</t>
  </si>
  <si>
    <t>3幢</t>
  </si>
  <si>
    <t>4幢</t>
  </si>
  <si>
    <t>5幢</t>
  </si>
  <si>
    <t>6幢</t>
  </si>
  <si>
    <t>7幢</t>
  </si>
  <si>
    <t>土地面积</t>
  </si>
  <si>
    <t>1组合</t>
  </si>
  <si>
    <t>建面</t>
  </si>
  <si>
    <t>2组合</t>
  </si>
  <si>
    <t>建筑面积（㎡）</t>
  </si>
  <si>
    <t>单价（元/㎡）</t>
  </si>
  <si>
    <t>合计</t>
  </si>
  <si>
    <t>商业项目</t>
  </si>
  <si>
    <t>自定义容积率</t>
  </si>
  <si>
    <t>与级别开发程度不一致</t>
  </si>
  <si>
    <t>2023年</t>
    <phoneticPr fontId="134" type="noConversion"/>
  </si>
  <si>
    <t>建筑物品质</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</si>
  <si>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</si>
  <si>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</si>
  <si>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</si>
  <si>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</si>
  <si>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</si>
  <si>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中心城区以外</t>
  </si>
  <si>
    <t>用途</t>
    <phoneticPr fontId="3" type="noConversion"/>
  </si>
  <si>
    <t>别墅</t>
  </si>
  <si>
    <t>别墅</t>
    <phoneticPr fontId="24" type="noConversion"/>
  </si>
  <si>
    <t>宿舍</t>
    <phoneticPr fontId="24" type="noConversion"/>
  </si>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</sst>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10" fontId="44" fillId="12" borderId="1" xfId="1" applyNumberFormat="1" applyFont="1" applyFill="1" applyBorder="1" applyAlignment="1" applyProtection="1">
      <alignment horizontal="center" vertical="center"/>
      <protection locked="0"/>
    </xf>
    <xf numFmtId="0" fontId="269"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77"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77" fontId="53" fillId="22" borderId="1" xfId="1"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609600</xdr:colOff>
      <xdr:row>3</xdr:row>
      <xdr:rowOff>95250</xdr:rowOff>
    </xdr:from>
    <xdr:to>
      <xdr:col>21</xdr:col>
      <xdr:colOff>665714</xdr:colOff>
      <xdr:row>12</xdr:row>
      <xdr:rowOff>76010</xdr:rowOff>
    </xdr:to>
    <xdr:pic>
      <xdr:nvPicPr>
        <xdr:cNvPr id="3" name="图片 2"/>
        <xdr:cNvPicPr>
          <a:picLocks noChangeAspect="1"/>
        </xdr:cNvPicPr>
      </xdr:nvPicPr>
      <xdr:blipFill>
        <a:blip xmlns:r="http://schemas.openxmlformats.org/officeDocument/2006/relationships" r:embed="rId1"/>
        <a:stretch>
          <a:fillRect/>
        </a:stretch>
      </xdr:blipFill>
      <xdr:spPr>
        <a:xfrm>
          <a:off x="8858250" y="609600"/>
          <a:ext cx="82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估价对象为北京市房地产，为所有。根据《国有土地使用证》[]，估价对象（分摊）出让国有建设用地使用权面积为1429.33平方米，建筑面积为241平方米。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估价对象为北京市房地产,属开发建设的商业项目，该项目尚在开发建设中。根据《国有土地使用证》[]，估价对象（分摊）出让国有建设用地使用权面积为1429.33平方米，规划建筑面积为241平方米。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2024年5月20日</v>
      </c>
    </row>
    <row r="13" spans="1:2" s="1202" customFormat="1">
      <c r="A13" s="1200" t="s">
        <v>529</v>
      </c>
      <c r="B13" s="1201" t="str">
        <f>'预评函-1'!A18</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436</v>
      </c>
    </row>
    <row r="21" spans="1:2" s="1202" customFormat="1">
      <c r="A21" s="1200" t="s">
        <v>537</v>
      </c>
      <c r="B21" s="1201">
        <f ca="1">'预评函-2'!D7</f>
        <v>18091</v>
      </c>
    </row>
    <row r="22" spans="1:2" s="1202" customFormat="1">
      <c r="A22" s="1200" t="s">
        <v>538</v>
      </c>
      <c r="B22" s="1201" t="str">
        <f ca="1">'预评函-2'!D6</f>
        <v>肆佰叁拾陆万元整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436</v>
      </c>
    </row>
    <row r="31" spans="1:2" s="1202" customFormat="1">
      <c r="A31" s="1200" t="s">
        <v>576</v>
      </c>
      <c r="B31" s="1201">
        <f ca="1">'预评函-2'!D15</f>
        <v>18091</v>
      </c>
    </row>
    <row r="32" spans="1:2" s="1202" customFormat="1">
      <c r="A32" s="1200" t="s">
        <v>543</v>
      </c>
      <c r="B32" s="1201" t="str">
        <f ca="1">'预评函-2'!D14</f>
        <v>肆佰叁拾陆万元整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241</v>
      </c>
    </row>
    <row r="44" spans="1:2" s="1202" customFormat="1">
      <c r="A44" s="1200" t="s">
        <v>575</v>
      </c>
      <c r="B44" s="1201" t="str">
        <f>'预评函-3'!C2</f>
        <v>(分摊)土地面积</v>
      </c>
    </row>
    <row r="45" spans="1:2" s="1202" customFormat="1">
      <c r="A45" s="1200" t="s">
        <v>547</v>
      </c>
      <c r="B45" s="1201">
        <f>'预评函-3'!C4</f>
        <v>1429.33</v>
      </c>
    </row>
    <row r="46" spans="1:2" s="1202" customFormat="1">
      <c r="A46" s="1200" t="s">
        <v>573</v>
      </c>
      <c r="B46" s="1201" t="str">
        <f>'预评函-3'!D2</f>
        <v>出让国有建设用地使用权价值</v>
      </c>
    </row>
    <row r="47" spans="1:2" s="1202" customFormat="1">
      <c r="A47" s="1200" t="s">
        <v>548</v>
      </c>
      <c r="B47" s="1201">
        <f ca="1">'预评函-3'!D4</f>
        <v>388</v>
      </c>
    </row>
    <row r="48" spans="1:2" s="1202" customFormat="1">
      <c r="A48" s="1200" t="s">
        <v>549</v>
      </c>
      <c r="B48" s="1201">
        <f ca="1">'预评函-3'!E4</f>
        <v>16099</v>
      </c>
    </row>
    <row r="49" spans="1:2" s="1202" customFormat="1">
      <c r="A49" s="1200" t="s">
        <v>550</v>
      </c>
      <c r="B49" s="1201" t="str">
        <f ca="1">'预评函-3'!D5</f>
        <v>叁佰捌拾捌万元整</v>
      </c>
    </row>
    <row r="50" spans="1:2" s="1202" customFormat="1">
      <c r="A50" s="1200" t="s">
        <v>574</v>
      </c>
      <c r="B50" s="1201" t="str">
        <f>'预评函-3'!F2</f>
        <v>在建建筑物价值</v>
      </c>
    </row>
    <row r="51" spans="1:2" s="1202" customFormat="1">
      <c r="A51" s="1200" t="s">
        <v>551</v>
      </c>
      <c r="B51" s="1201">
        <f ca="1">'预评函-3'!F4</f>
        <v>48</v>
      </c>
    </row>
    <row r="52" spans="1:2" s="1202" customFormat="1">
      <c r="A52" s="1200" t="s">
        <v>552</v>
      </c>
      <c r="B52" s="1201">
        <f ca="1">'预评函-3'!G4</f>
        <v>1992</v>
      </c>
    </row>
    <row r="53" spans="1:2" s="1202" customFormat="1">
      <c r="A53" s="1200" t="s">
        <v>580</v>
      </c>
      <c r="B53" s="1201" t="str">
        <f ca="1">'预评函-3'!F5</f>
        <v>肆拾捌万元整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2578</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2579</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13" t="s">
        <v>2581</v>
      </c>
      <c r="J2" s="3513"/>
      <c r="K2" s="3513"/>
      <c r="L2" s="3513"/>
      <c r="M2" s="3513"/>
      <c r="N2" s="3513"/>
      <c r="O2" s="3513"/>
      <c r="P2" s="3513"/>
      <c r="Q2" s="3513"/>
      <c r="R2" s="3513"/>
    </row>
    <row r="3" spans="1:18">
      <c r="A3" s="3019" t="s">
        <v>2502</v>
      </c>
      <c r="B3" s="3020">
        <f>项目基本情况!D3</f>
        <v>45432</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2.58</v>
      </c>
      <c r="D5" s="3024">
        <f>IF(ISERROR(ROUND(POWER(1+E5,A5-C5)*(POWER(1+E5,C5)-1)/(POWER(1+E5,A5)-1),3)),0,ROUND(POWER(1+E5,A5-C5)*(POWER(1+E5,C5)-1)/(POWER(1+E5,A5)-1),4))</f>
        <v>0.1216</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12.59</v>
      </c>
      <c r="D6" s="3024">
        <f>IF(ISERROR(ROUND(POWER(1+E6,A6-C6)*(POWER(1+E6,C6)-1)/(POWER(1+E6,A6)-1),3)),0,ROUND(POWER(1+E6,A6-C6)*(POWER(1+E6,C6)-1)/(POWER(1+E6,A6)-1),4))</f>
        <v>0.45350000000000001</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 sqref="E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45432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25"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26"/>
      <c r="E9" s="2393" t="s">
        <v>43</v>
      </c>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1" t="s">
        <v>3332</v>
      </c>
      <c r="B13" s="2406" t="s">
        <v>2187</v>
      </c>
      <c r="C13" s="855"/>
      <c r="D13" s="855">
        <v>50600</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14.15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32"/>
      <c r="C16" s="3533"/>
      <c r="D16" s="3534"/>
      <c r="E16" s="2412" t="s">
        <v>2191</v>
      </c>
      <c r="F16" s="3535"/>
      <c r="G16" s="3536"/>
      <c r="H16" s="3536"/>
      <c r="I16" s="3537"/>
      <c r="J16" s="2438"/>
      <c r="K16" s="2616"/>
      <c r="L16" s="2450"/>
      <c r="M16" s="2450"/>
      <c r="N16" s="2508"/>
      <c r="O16" s="2450"/>
      <c r="P16" s="2508"/>
      <c r="Q16" s="2438"/>
      <c r="R16" s="2438"/>
    </row>
    <row r="17" spans="1:28">
      <c r="A17" s="313" t="s">
        <v>2192</v>
      </c>
      <c r="B17" s="302" t="s">
        <v>2193</v>
      </c>
      <c r="C17" s="8">
        <f>'数据-汇总表'!E3</f>
        <v>241</v>
      </c>
      <c r="D17" s="2321" t="s">
        <v>2194</v>
      </c>
      <c r="E17" s="3538" t="s">
        <v>2195</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1429.33</v>
      </c>
      <c r="D18" s="1091" t="s">
        <v>2198</v>
      </c>
      <c r="E18" s="3541" t="s">
        <v>2199</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28" t="s">
        <v>2203</v>
      </c>
      <c r="C20" s="3529"/>
      <c r="D20" s="3530" t="s">
        <v>2204</v>
      </c>
      <c r="E20" s="3531"/>
      <c r="F20" s="2646" t="s">
        <v>1056</v>
      </c>
      <c r="G20" s="2663"/>
      <c r="H20" s="2663"/>
      <c r="I20" s="2663"/>
      <c r="J20" s="2438"/>
      <c r="K20" s="3527"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v>1996</v>
      </c>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f>2024-G21</f>
        <v>28</v>
      </c>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11</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2211</v>
      </c>
      <c r="B27" s="320" t="s">
        <v>2212</v>
      </c>
      <c r="C27" s="2415" t="s">
        <v>3468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2215</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14" t="s">
        <v>2225</v>
      </c>
      <c r="T34" s="2427" t="str">
        <f>NUMBERSTRING(7-K34,1)&amp;"通"</f>
        <v>七通</v>
      </c>
      <c r="U34" s="2438"/>
      <c r="V34" s="2438"/>
    </row>
    <row r="35" spans="1:30">
      <c r="A35" s="2428"/>
      <c r="B35" s="3521" t="s">
        <v>2226</v>
      </c>
      <c r="C35" s="3521"/>
      <c r="D35" s="3521"/>
      <c r="E35" s="3521"/>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4"/>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1"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2956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6" sqref="K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4288</v>
      </c>
      <c r="B3" s="11">
        <f>IF(C3="否",G5-AT5,G5)</f>
        <v>723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241</v>
      </c>
      <c r="BA5" s="15">
        <f t="shared" si="1"/>
        <v>241</v>
      </c>
      <c r="BB5" s="15">
        <f t="shared" si="1"/>
        <v>241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1429.33</v>
      </c>
      <c r="AZ6" s="13" t="s">
        <v>2</v>
      </c>
      <c r="BA6" s="13">
        <f>ROUND($AY$6*BA5/$AZ$5,2)</f>
        <v>1429.33</v>
      </c>
      <c r="BB6" s="13">
        <f>ROUND($AY$6*BB5/$AZ$5,2)</f>
        <v>1429.33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项目信息!C4</f>
        <v>1幢</v>
      </c>
      <c r="D13" s="1624" t="s">
        <v>3382</v>
      </c>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tr">
        <f>项目信息!C5</f>
        <v>3幢</v>
      </c>
      <c r="D14" s="1624" t="s">
        <v>3382</v>
      </c>
      <c r="E14" s="13">
        <f>IF($C$3="是",ROUND($A$3*G14/$B$3,2),ROUND($A$3*(G14-AT14)/$B$3,2))</f>
        <v>1429.33</v>
      </c>
      <c r="F14" s="29"/>
      <c r="G14" s="30">
        <f>H14+AC14+AT14</f>
        <v>241</v>
      </c>
      <c r="H14" s="17">
        <f>SUMIF(I$12:AB$12,"总值",I14:AB14)</f>
        <v>241</v>
      </c>
      <c r="I14" s="1625">
        <f>项目信息!D5</f>
        <v>241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3幢</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tr">
        <f>项目信息!C6</f>
        <v>4幢</v>
      </c>
      <c r="D15" s="1624" t="s">
        <v>3382</v>
      </c>
      <c r="E15" s="13">
        <f>IF($C$3="是",ROUND($A$3*G15/$B$3,2),ROUND($A$3*(G15-AT15)/$B$3,2))</f>
        <v>1429.33</v>
      </c>
      <c r="F15" s="29"/>
      <c r="G15" s="30">
        <f>H15+AC15+AT15</f>
        <v>241</v>
      </c>
      <c r="H15" s="17">
        <f>SUMIF(I$12:AB$12,"总值",I15:AB15)</f>
        <v>241</v>
      </c>
      <c r="I15" s="1625">
        <f>项目信息!D6</f>
        <v>241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4幢</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tr">
        <f>项目信息!C7</f>
        <v>5幢</v>
      </c>
      <c r="D16" s="1624" t="s">
        <v>3382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5幢</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tr">
        <f>项目信息!C8</f>
        <v>6幢</v>
      </c>
      <c r="D17" s="1624" t="s">
        <v>3382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6幢</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项目信息!C9</f>
        <v>7幢</v>
      </c>
      <c r="D18" s="1624" t="s">
        <v>3389</v>
      </c>
      <c r="E18" s="32">
        <f t="shared" ref="E18:E112" si="7">IF($C$3="是",ROUND($A$3*G18/$B$3,2),ROUND($A$3*(G18-AT18)/$B$3,2))</f>
        <v>1429.33</v>
      </c>
      <c r="F18" s="33"/>
      <c r="G18" s="34">
        <f t="shared" ref="G18:G109" si="8">H18+AC18+AT18</f>
        <v>241</v>
      </c>
      <c r="H18" s="35">
        <f t="shared" ref="H18:H109" si="9">SUMIF(I$12:AB$12,"总值",I18:AB18)</f>
        <v>241</v>
      </c>
      <c r="I18" s="1625">
        <f>项目信息!D9</f>
        <v>241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7幢</v>
      </c>
      <c r="AY18" s="39">
        <f t="shared" ref="AY18:AY109" si="14">ROUND($AY$6*AZ18/$AZ$5,2)</f>
        <v>1429.33</v>
      </c>
      <c r="AZ18" s="32">
        <f t="shared" ref="AZ18:AZ109" si="15">BA18+BL18</f>
        <v>241</v>
      </c>
      <c r="BA18" s="32">
        <f t="shared" ref="BA18:BA109" si="16">SUM(BB18:BK18)</f>
        <v>241</v>
      </c>
      <c r="BB18" s="32">
        <f t="shared" ref="BB18:BB109" si="17">IF($D18="是",I18-J18,0)</f>
        <v>241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7" sqref="J4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1429.33</v>
      </c>
      <c r="E3" s="43">
        <f>'数据-基础表'!AZ5</f>
        <v>241</v>
      </c>
      <c r="F3" s="2658"/>
      <c r="G3" s="1144"/>
      <c r="H3" s="1025" t="s">
        <v>1106</v>
      </c>
      <c r="I3" s="854">
        <f>ROUND('数据-基础表'!B3/'数据-基础表'!A3,2)</f>
        <v>0.17</v>
      </c>
      <c r="J3" s="2658"/>
      <c r="K3" s="2658"/>
      <c r="L3" s="2658"/>
      <c r="M3" s="2658"/>
      <c r="N3" s="2660"/>
      <c r="O3" s="2658"/>
      <c r="P3" s="2658"/>
    </row>
    <row r="4" spans="1:16" ht="15">
      <c r="A4" s="3555"/>
      <c r="B4" s="3556"/>
      <c r="C4" s="3557"/>
      <c r="D4" s="1640" t="s">
        <v>1107</v>
      </c>
      <c r="E4" s="1641" t="s">
        <v>1108</v>
      </c>
      <c r="F4" s="2658"/>
      <c r="G4" s="2651" t="s">
        <v>1133</v>
      </c>
      <c r="H4" s="1025" t="s">
        <v>1113</v>
      </c>
      <c r="I4" s="854">
        <f>ROUND(SUMIF('数据-基础表'!I9:AS9,"地上",'数据-基础表'!I5:AS5)/'数据-基础表'!A3,2)</f>
        <v>0.17</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f>ROUND(E31/D31,2)</f>
        <v>0.17</v>
      </c>
      <c r="J5" s="2658"/>
      <c r="K5" s="2658"/>
      <c r="L5" s="2658"/>
      <c r="M5" s="2658"/>
      <c r="N5" s="2658"/>
      <c r="O5" s="2658"/>
      <c r="P5" s="2658"/>
    </row>
    <row r="6" spans="1:16" ht="15" thickBot="1">
      <c r="A6" s="1643"/>
      <c r="B6" s="3558" t="s">
        <v>1111</v>
      </c>
      <c r="C6" s="3558"/>
      <c r="D6" s="45">
        <f>ROUND($D$3*E6/$E$3,2)</f>
        <v>1429.33</v>
      </c>
      <c r="E6" s="46">
        <f>E3-E5</f>
        <v>241</v>
      </c>
      <c r="F6" s="2658"/>
      <c r="G6" s="2652" t="s">
        <v>1112</v>
      </c>
      <c r="H6" s="1145" t="s">
        <v>1113</v>
      </c>
      <c r="I6" s="2653">
        <f>ROUND(F31/D31,2)</f>
        <v>0.17</v>
      </c>
      <c r="J6" s="2658"/>
      <c r="K6" s="2658"/>
      <c r="L6" s="2658"/>
      <c r="M6" s="2658"/>
      <c r="N6" s="2658"/>
      <c r="O6" s="2658"/>
      <c r="P6" s="2658"/>
    </row>
    <row r="7" spans="1:16" ht="15.75" thickBot="1">
      <c r="A7" s="3550"/>
      <c r="B7" s="3551"/>
      <c r="C7" s="3552"/>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1429.33</v>
      </c>
      <c r="E8" s="48">
        <f>SUMIF('数据-基础表'!BB10:BK10,"地上",'数据-基础表'!BB5:BK5)</f>
        <v>241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1429.33</v>
      </c>
      <c r="E16" s="50">
        <f>SUM(E8:E15)</f>
        <v>241</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3444</v>
      </c>
      <c r="D19" s="45">
        <f>ROUND($D$3*E19/$E$3,2)</f>
        <v>1429.33</v>
      </c>
      <c r="E19" s="53">
        <f t="shared" ref="E19:E26" si="1">SUM(F19:G19)</f>
        <v>241</v>
      </c>
      <c r="F19" s="2794">
        <f>'数据-基础表'!I18</f>
        <v>241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1429.33</v>
      </c>
      <c r="S19" s="1026">
        <f t="shared" si="5"/>
        <v>241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1429.33</v>
      </c>
      <c r="E27" s="1140">
        <f>IF(SUM(E19:E26)='数据-基础表'!BA5,SUM(E19:E26),IF(F27="地上面积有误","面积有误","地下面积有误"))</f>
        <v>241</v>
      </c>
      <c r="F27" s="1139">
        <f>IF(SUM(F19:F26)=E8,SUM(F19:F26),"地上面积有误")</f>
        <v>241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1429.33</v>
      </c>
      <c r="S27" s="1025">
        <f>IF(SUM(S19:S26)=$E$3,SUM(S19:S26),SUM(S19:S26)&amp;"误差"&amp;ROUND(SUM(S19:S26)-E3,2))</f>
        <v>241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1429.33</v>
      </c>
      <c r="E31" s="675">
        <f>E27+E30</f>
        <v>241</v>
      </c>
      <c r="F31" s="676">
        <f>F27+F30</f>
        <v>241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50600</v>
      </c>
      <c r="F6" s="64">
        <f>SUMIF(项目基本情况!C$12:I$12,C6,项目基本情况!C$15:I$15)</f>
        <v>14.15</v>
      </c>
      <c r="G6" s="65">
        <f>IF(ISERROR(ROUND(POWER(1+H6,D6-F6)*(POWER(1+H6,F6)-1)/(POWER(1+H6,D6)-1),3)),0,ROUND(POWER(1+H6,D6-F6)*(POWER(1+H6,F6)-1)/(POWER(1+H6,D6)-1),3))</f>
        <v>0.58099999999999996</v>
      </c>
      <c r="H6" s="731">
        <v>0.05</v>
      </c>
      <c r="I6" s="731">
        <v>5.5E-2</v>
      </c>
      <c r="J6" s="66">
        <v>7.0000000000000007E-2</v>
      </c>
      <c r="K6" s="1029">
        <f>SUMIF('数据-汇总表'!C$19:C$33,A6,'数据-汇总表'!E$19:E$33)</f>
        <v>241</v>
      </c>
      <c r="L6" s="3469">
        <v>3500</v>
      </c>
      <c r="M6" s="67">
        <f t="shared" ref="M6:M14" si="0">ROUND(K6*L6/10000,0)</f>
        <v>84</v>
      </c>
      <c r="N6" s="730">
        <v>0.7</v>
      </c>
      <c r="O6" s="67" t="str">
        <f>IF($N$5="成新度","——",ROUND(M6*N6,0))</f>
        <v>——</v>
      </c>
      <c r="P6" s="68" t="str">
        <f>IF($N$5="成新度","——",M6-O6)</f>
        <v>——</v>
      </c>
      <c r="Q6" s="3470">
        <v>0.2</v>
      </c>
      <c r="R6" s="69">
        <f ca="1">SUMIF('数据-汇总表'!C$19:C$33,A6,'数据-汇总表'!R$19:R$27)</f>
        <v>1429.33</v>
      </c>
      <c r="S6" s="51">
        <f>IF('数据-汇总表'!$I$17="按面积比例",SUMIF('数据-汇总表'!C$19:C$33,A6,'数据-汇总表'!K$19:K$33),SUMIF('数据-汇总表'!C$19:C$33,A6,'数据-汇总表'!N$19:N$33))</f>
        <v>0</v>
      </c>
      <c r="T6" s="1171">
        <f>ROUND($L$14*S6/10000,0)</f>
        <v>0</v>
      </c>
      <c r="U6" s="3426">
        <v>2.5</v>
      </c>
      <c r="V6" s="70">
        <v>0.02</v>
      </c>
      <c r="W6" s="70">
        <v>0.1</v>
      </c>
      <c r="X6" s="1039"/>
      <c r="Y6" s="71">
        <f>N6</f>
        <v>0.7</v>
      </c>
      <c r="Z6" s="72"/>
      <c r="AA6" s="66"/>
      <c r="AB6" s="66"/>
      <c r="AC6" s="1039"/>
      <c r="AD6" s="73"/>
      <c r="AE6" s="1040">
        <f ca="1">IF(AN6="",0,SUMIF(INDIRECT("'"&amp;AN6&amp;"'"&amp;"!E:E"),$AE$5,INDIRECT("'"&amp;AN6&amp;"'"&amp;"!F:F")))</f>
        <v>14.15</v>
      </c>
      <c r="AF6" s="1347"/>
      <c r="AG6" s="138">
        <f>IF(AF6="",0,AE6-AF6)</f>
        <v>0</v>
      </c>
      <c r="AH6" s="74"/>
      <c r="AI6" s="76">
        <v>365</v>
      </c>
      <c r="AJ6" s="77"/>
      <c r="AK6" s="78">
        <v>5.0000000000000001E-3</v>
      </c>
      <c r="AL6" s="79">
        <v>1.5E-3</v>
      </c>
      <c r="AM6" s="80">
        <v>5.0000000000000001E-3</v>
      </c>
      <c r="AN6" s="1714" t="s">
        <v>3445</v>
      </c>
      <c r="AO6" s="52">
        <f ca="1">SUMIF(INDIRECT("'"&amp;AN6&amp;"'"&amp;"!A:A"),"总价",INDIRECT("'"&amp;AN6&amp;"'"&amp;"!B:B"))</f>
        <v>192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5">
        <f>L6</f>
        <v>3500</v>
      </c>
      <c r="M14" s="67">
        <f t="shared" si="0"/>
        <v>0</v>
      </c>
      <c r="N14" s="3459"/>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0.58099999999999996</v>
      </c>
      <c r="H16" s="90">
        <f>ROUND(SUMPRODUCT(H6:H13,K6:K13)/SUMPRODUCT((H6:H13&gt;0)*(K6:K13)),3)</f>
        <v>0.05</v>
      </c>
      <c r="I16" s="91"/>
      <c r="J16" s="91"/>
      <c r="K16" s="92">
        <f>SUM(K6:K15)</f>
        <v>241</v>
      </c>
      <c r="L16" s="93">
        <f>ROUND(M16*10000/SUM(K6:K14),0)</f>
        <v>3485</v>
      </c>
      <c r="M16" s="93">
        <f>SUM(M6:M14)</f>
        <v>84</v>
      </c>
      <c r="N16" s="94">
        <f>ROUND(SUMPRODUCT(M6:M14,N6:N14)/M16,3)</f>
        <v>0.7</v>
      </c>
      <c r="O16" s="93">
        <f>SUM(O6:O14)</f>
        <v>0</v>
      </c>
      <c r="P16" s="93">
        <f>SUM(P6:P14)</f>
        <v>0</v>
      </c>
      <c r="Q16" s="95">
        <f>ROUND(SUMPRODUCT(Q6:Q13,K6:K13)/SUMPRODUCT((Q6:Q13&gt;0)*(K6:K13)),2)</f>
        <v>0.2</v>
      </c>
      <c r="R16" s="1033">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0.53</v>
      </c>
      <c r="O18" s="2670">
        <v>0.5</v>
      </c>
      <c r="P18" s="2670"/>
      <c r="Q18" s="2670"/>
      <c r="R18" s="2670"/>
      <c r="S18" s="2670"/>
      <c r="T18" s="2670"/>
      <c r="U18" s="2670">
        <v>14000000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U18/'数据-汇总表'!E19/365</f>
        <v>159.15420906042175</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f>ROUND(N18*O18+N19*O19,2)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5</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2283</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241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436</v>
      </c>
      <c r="C5" s="2511">
        <f ca="1">IF(B5=D14,结果表!H102,ROUND(B5*10000/$B$1,0))</f>
        <v>18091</v>
      </c>
      <c r="D5" s="2511" t="e">
        <f ca="1">ROUND(B5*10000/$B$2,0)</f>
        <v>#DIV/0!</v>
      </c>
      <c r="E5" s="2685"/>
      <c r="F5" s="2686"/>
      <c r="G5" s="2686"/>
      <c r="H5" s="2687"/>
      <c r="I5" s="2687"/>
      <c r="J5" s="2687"/>
      <c r="K5" s="2687"/>
    </row>
    <row r="6" spans="1:11" ht="16.5">
      <c r="A6" s="2511" t="s">
        <v>656</v>
      </c>
      <c r="B6" s="2511">
        <f>SUM(G14:G23)</f>
        <v>0</v>
      </c>
      <c r="C6" s="2511">
        <f ca="1">IF(B6=G14,结果表!H108,ROUND(B6*10000/$B$1,0))</f>
        <v>18091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39"/>
      <c r="F10" s="3443" t="s">
        <v>3357</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241</v>
      </c>
      <c r="C14" s="2517"/>
      <c r="D14" s="2517">
        <f ca="1">结果表!H118</f>
        <v>436</v>
      </c>
      <c r="E14" s="2517">
        <f ca="1">ROUND(D14*10000/B14,0)</f>
        <v>18091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3483</v>
      </c>
      <c r="D4" s="1755" t="s">
        <v>3484</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4</v>
      </c>
      <c r="D14" s="3598">
        <v>6</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85" t="s">
        <v>2128</v>
      </c>
      <c r="F18" s="3586"/>
      <c r="G18" s="3586"/>
      <c r="H18" s="3586"/>
      <c r="I18" s="3586"/>
      <c r="K18" s="302" t="s">
        <v>1289</v>
      </c>
      <c r="L18" s="302">
        <f>IF(C1="",'数据-汇总表'!E3,SUMIF(项目类型,C1,'数据-汇总表'!E17:E26)+SUMIF(项目类型,C1,'数据-汇总表'!I17:I26))</f>
        <v>241</v>
      </c>
      <c r="M18" s="302">
        <f>IF(C1="",'数据-汇总表'!E3,SUMIF(项目类型,C1,'数据-汇总表'!E17:E26))</f>
        <v>241</v>
      </c>
    </row>
    <row r="19" spans="1:36" ht="15">
      <c r="A19" s="1760" t="s">
        <v>1290</v>
      </c>
      <c r="B19" s="1761" t="s">
        <v>1291</v>
      </c>
      <c r="C19" s="134">
        <f ca="1">SUMIF(INDIRECT("'"&amp;C4&amp;"'"&amp;"!A:A"),结果表!B19,INDIRECT("'"&amp;C4&amp;"'"&amp;"!B:B"))</f>
        <v>811.41120000000001</v>
      </c>
      <c r="D19" s="135">
        <f ca="1">SUMIF(INDIRECT("'"&amp;D4&amp;"'"&amp;"!A:A"),结果表!B19,INDIRECT("'"&amp;D4&amp;"'"&amp;"!B:B"))</f>
        <v>185.5642</v>
      </c>
      <c r="E19" s="1760" t="s">
        <v>1292</v>
      </c>
      <c r="F19" s="1761" t="s">
        <v>1291</v>
      </c>
      <c r="G19" s="136">
        <f ca="1">ROUND(C19*$C$18+D19*$D$18,0)</f>
        <v>436</v>
      </c>
      <c r="H19" s="1762"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3"/>
      <c r="B20" s="1025" t="s">
        <v>1295</v>
      </c>
      <c r="C20" s="137">
        <f ca="1">SUMIF(INDIRECT("'"&amp;C4&amp;"'"&amp;"!A:A"),结果表!B20,INDIRECT("'"&amp;C4&amp;"'"&amp;"!B:B"))</f>
        <v>33669</v>
      </c>
      <c r="D20" s="138">
        <f ca="1">SUMIF(INDIRECT("'"&amp;D4&amp;"'"&amp;"!A:A"),结果表!B20,INDIRECT("'"&amp;D4&amp;"'"&amp;"!B:B"))</f>
        <v>7700</v>
      </c>
      <c r="E20" s="1763"/>
      <c r="F20" s="1025" t="s">
        <v>1295</v>
      </c>
      <c r="G20" s="139">
        <f ca="1">ROUND(C20*$C$18+D20*$D$18,0)</f>
        <v>18088</v>
      </c>
      <c r="H20" s="807" t="s">
        <v>1296</v>
      </c>
      <c r="I20" s="129"/>
    </row>
    <row r="21" spans="1:36" ht="15" customHeight="1" thickBot="1">
      <c r="A21" s="827"/>
      <c r="B21" s="1764" t="s">
        <v>1297</v>
      </c>
      <c r="C21" s="718">
        <f ca="1">ROUND(C19*10000/L19,0)</f>
        <v>5677</v>
      </c>
      <c r="D21" s="719">
        <f ca="1">ROUND(D19*10000/L19,0)</f>
        <v>1298</v>
      </c>
      <c r="E21" s="827"/>
      <c r="F21" s="1764" t="s">
        <v>1297</v>
      </c>
      <c r="G21" s="140">
        <f ca="1">ROUND(G19*10000/L19,0)</f>
        <v>3050</v>
      </c>
      <c r="H21" s="1765" t="s">
        <v>1296</v>
      </c>
      <c r="I21" s="129"/>
    </row>
    <row r="22" spans="1:36" ht="15" thickBot="1">
      <c r="A22" s="1687" t="s">
        <v>1298</v>
      </c>
      <c r="B22" s="1766"/>
      <c r="C22" s="1767"/>
      <c r="D22" s="720">
        <f ca="1">IF(C19&lt;D19,D19/C19-1,C19/D19-1)</f>
        <v>3.3726710216733613</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c r="G24" s="129"/>
      <c r="H24" s="129"/>
      <c r="I24" s="129"/>
    </row>
    <row r="25" spans="1:36" ht="14.25">
      <c r="A25" s="357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1.8091286307053942</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436</v>
      </c>
      <c r="D32" s="1774" t="s">
        <v>3446</v>
      </c>
      <c r="E32" s="129"/>
      <c r="F32" s="129"/>
      <c r="G32" s="129"/>
      <c r="H32" s="129"/>
      <c r="I32" s="129"/>
    </row>
    <row r="33" spans="1:15" ht="15">
      <c r="A33" s="785" t="s">
        <v>1306</v>
      </c>
      <c r="B33" s="1775"/>
      <c r="C33" s="1776" t="s">
        <v>3447</v>
      </c>
      <c r="D33" s="1777" t="s">
        <v>3443</v>
      </c>
      <c r="E33" s="1778" t="s">
        <v>1307</v>
      </c>
      <c r="F33" s="1779" t="str">
        <f>IF(D32="楼面单价","取值（单价）","取值（总价）")</f>
        <v>取值（总价）</v>
      </c>
      <c r="G33" s="129"/>
      <c r="H33" s="129"/>
      <c r="I33" s="129"/>
    </row>
    <row r="34" spans="1:15" ht="15">
      <c r="A34" s="1780"/>
      <c r="B34" s="1781" t="s">
        <v>1308</v>
      </c>
      <c r="C34" s="148">
        <f ca="1">IF(C33="自定义",F34,C32-C35)</f>
        <v>388</v>
      </c>
      <c r="D34" s="860">
        <f ca="1">IF(C33="自定义",ROUND(C34/C32,3),IF(C33="收益比率",SUMIF(INDIRECT("'"&amp;D33&amp;"'"&amp;"!b:b"),"土地收益比率",INDIRECT("'"&amp;D33&amp;"'"&amp;"!c:c")),SUMIF(INDIRECT("'"&amp;D33&amp;"'"&amp;"!b:b"),"土地成本比率",INDIRECT("'"&amp;D33&amp;"'"&amp;"!c:c"))))</f>
        <v>0.89</v>
      </c>
      <c r="E34" s="1782" t="s">
        <v>1309</v>
      </c>
      <c r="F34" s="1329"/>
      <c r="G34" s="129"/>
      <c r="H34" s="129"/>
      <c r="I34" s="129"/>
    </row>
    <row r="35" spans="1:15" ht="15.75" thickBot="1">
      <c r="A35" s="1783"/>
      <c r="B35" s="1784" t="s">
        <v>1310</v>
      </c>
      <c r="C35" s="1169">
        <f ca="1">IF(C33="自定义",F35,ROUND(C32*D35,0))</f>
        <v>48</v>
      </c>
      <c r="D35" s="1170">
        <f ca="1">IF(C33="自定义",ROUND(C35/C32,3),IF(C33="收益比率",SUMIF(INDIRECT("'"&amp;D33&amp;"'"&amp;"!b:b"),"建筑物收益比率",INDIRECT("'"&amp;D33&amp;"'"&amp;"!c:c")),SUMIF(INDIRECT("'"&amp;D33&amp;"'"&amp;"!b:b"),"建筑物成本比率",INDIRECT("'"&amp;D33&amp;"'"&amp;"!c:c"))))</f>
        <v>0.11</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8"/>
      <c r="E37" s="1138"/>
      <c r="F37" s="1789"/>
      <c r="G37" s="129"/>
      <c r="H37" s="129"/>
      <c r="I37" s="129"/>
    </row>
    <row r="38" spans="1:15" ht="15.75" thickBot="1">
      <c r="A38" s="359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436</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6" t="s">
        <v>1333</v>
      </c>
      <c r="E47" s="302" t="s">
        <v>1334</v>
      </c>
      <c r="F47" s="163" t="s">
        <v>1335</v>
      </c>
      <c r="G47" s="2545" t="s">
        <v>1336</v>
      </c>
      <c r="H47" s="2546"/>
      <c r="I47" s="159"/>
      <c r="J47" s="2522">
        <v>2</v>
      </c>
      <c r="K47" s="3625" t="s">
        <v>1337</v>
      </c>
      <c r="L47" s="3625"/>
      <c r="M47" s="3646">
        <f>'数据-取费表'!B2</f>
        <v>45432</v>
      </c>
      <c r="N47" s="3646"/>
      <c r="O47" s="3646"/>
    </row>
    <row r="48" spans="1:15" ht="25.5">
      <c r="A48" s="3594" t="s">
        <v>1338</v>
      </c>
      <c r="B48" s="3577"/>
      <c r="C48" s="3577"/>
      <c r="D48" s="2323">
        <f ca="1">IF(H48="情况1",0,IF(H48="情况2",D52,IF(H48="情况3",D53,IF(H48="情况4",D54))))</f>
        <v>23</v>
      </c>
      <c r="E48" s="2333" t="str">
        <f>IF(H48="情况4","(销售额-原购置价)×税（费）率","销售额×税（费）率")</f>
        <v>销售额×税（费）率</v>
      </c>
      <c r="F48" s="2547">
        <f>IF(H48="情况1","免征",'数据-取费表'!B41)</f>
        <v>5.5000000000000007E-2</v>
      </c>
      <c r="G48" s="2548" t="s">
        <v>1339</v>
      </c>
      <c r="H48" s="2549" t="s">
        <v>3449</v>
      </c>
      <c r="I48" s="1805"/>
      <c r="J48" s="2522">
        <v>3</v>
      </c>
      <c r="K48" s="3625" t="s">
        <v>1340</v>
      </c>
      <c r="L48" s="3625"/>
      <c r="M48" s="3647">
        <f ca="1">H101</f>
        <v>436</v>
      </c>
      <c r="N48" s="3647"/>
      <c r="O48" s="3647"/>
    </row>
    <row r="49" spans="1:35" ht="25.5" customHeight="1">
      <c r="A49" s="2332" t="s">
        <v>1341</v>
      </c>
      <c r="B49" s="3561" t="s">
        <v>1342</v>
      </c>
      <c r="C49" s="3561"/>
      <c r="D49" s="1589">
        <v>0</v>
      </c>
      <c r="E49" s="324" t="s">
        <v>1343</v>
      </c>
      <c r="F49" s="2423" t="s">
        <v>28</v>
      </c>
      <c r="G49" s="3631"/>
      <c r="H49" s="2309" t="s">
        <v>2131</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436</v>
      </c>
      <c r="N49" s="3647"/>
      <c r="O49" s="3647"/>
    </row>
    <row r="50" spans="1:35" ht="25.5" customHeight="1">
      <c r="A50" s="2550"/>
      <c r="B50" s="3561" t="s">
        <v>1344</v>
      </c>
      <c r="C50" s="3561"/>
      <c r="D50" s="2551"/>
      <c r="E50" s="332"/>
      <c r="F50" s="2423"/>
      <c r="G50" s="3632"/>
      <c r="H50" s="2311" t="s">
        <v>2132</v>
      </c>
      <c r="I50" s="2310"/>
      <c r="J50" s="3644" t="s">
        <v>1345</v>
      </c>
      <c r="K50" s="3644"/>
      <c r="L50" s="3644"/>
      <c r="M50" s="3644"/>
      <c r="N50" s="3644"/>
      <c r="O50" s="3644"/>
    </row>
    <row r="51" spans="1:35" ht="20.45" customHeight="1">
      <c r="A51" s="2552"/>
      <c r="B51" s="3561" t="s">
        <v>1346</v>
      </c>
      <c r="C51" s="3561"/>
      <c r="D51" s="1086"/>
      <c r="E51" s="327"/>
      <c r="F51" s="2423"/>
      <c r="G51" s="3633"/>
      <c r="H51" s="2311" t="s">
        <v>2133</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23</v>
      </c>
      <c r="E52" s="2333" t="s">
        <v>1354</v>
      </c>
      <c r="F52" s="2553">
        <f>'数据-取费表'!B41</f>
        <v>5.5000000000000007E-2</v>
      </c>
      <c r="G52" s="2554"/>
      <c r="H52" s="2543"/>
      <c r="I52" s="1806"/>
      <c r="J52" s="2522">
        <v>1</v>
      </c>
      <c r="K52" s="3626" t="s">
        <v>1355</v>
      </c>
      <c r="L52" s="3626"/>
      <c r="M52" s="2524">
        <f ca="1">D48</f>
        <v>23</v>
      </c>
      <c r="N52" s="2522" t="str">
        <f>E48</f>
        <v>销售额×税（费）率</v>
      </c>
      <c r="O52" s="2525">
        <f>F48</f>
        <v>5.5000000000000007E-2</v>
      </c>
    </row>
    <row r="53" spans="1:35" ht="12" customHeight="1">
      <c r="A53" s="2334" t="s">
        <v>1356</v>
      </c>
      <c r="B53" s="3587" t="s">
        <v>2288</v>
      </c>
      <c r="C53" s="3588"/>
      <c r="D53" s="1086">
        <f ca="1">ROUND(D45*'数据-取费表'!B41/(1+'数据-取费表'!C42),0)</f>
        <v>23</v>
      </c>
      <c r="E53" s="2333" t="s">
        <v>1354</v>
      </c>
      <c r="F53" s="2553">
        <f>'数据-取费表'!B41</f>
        <v>5.5000000000000007E-2</v>
      </c>
      <c r="G53" s="2554"/>
      <c r="H53" s="2543"/>
      <c r="I53" s="1806"/>
      <c r="J53" s="2522">
        <v>2</v>
      </c>
      <c r="K53" s="3626" t="s">
        <v>1357</v>
      </c>
      <c r="L53" s="3626"/>
      <c r="M53" s="2524">
        <f t="shared" ref="M53:O54" ca="1" si="0">D55</f>
        <v>0</v>
      </c>
      <c r="N53" s="2522" t="str">
        <f t="shared" si="0"/>
        <v>销售额×税（费）率</v>
      </c>
      <c r="O53" s="2525">
        <f t="shared" si="0"/>
        <v>5.0000000000000001E-4</v>
      </c>
    </row>
    <row r="54" spans="1:35" ht="12" customHeight="1">
      <c r="A54" s="2334" t="s">
        <v>1358</v>
      </c>
      <c r="B54" s="3587" t="s">
        <v>2289</v>
      </c>
      <c r="C54" s="3588"/>
      <c r="D54" s="1086">
        <f ca="1">C68</f>
        <v>23</v>
      </c>
      <c r="E54" s="327" t="s">
        <v>1359</v>
      </c>
      <c r="F54" s="2553">
        <f>'数据-取费表'!B41</f>
        <v>5.5000000000000007E-2</v>
      </c>
      <c r="G54" s="2554"/>
      <c r="H54" s="2555"/>
      <c r="I54" s="1806"/>
      <c r="J54" s="2522">
        <v>3</v>
      </c>
      <c r="K54" s="3626" t="s">
        <v>1360</v>
      </c>
      <c r="L54" s="3626"/>
      <c r="M54" s="2524">
        <f t="shared" ca="1" si="0"/>
        <v>247</v>
      </c>
      <c r="N54" s="2522" t="str">
        <f t="shared" si="0"/>
        <v>增值额×税（费）率</v>
      </c>
      <c r="O54" s="2526" t="str">
        <f t="shared" si="0"/>
        <v>——</v>
      </c>
    </row>
    <row r="55" spans="1:35" ht="24" customHeight="1">
      <c r="A55" s="3576" t="s">
        <v>1361</v>
      </c>
      <c r="B55" s="3577"/>
      <c r="C55" s="3577"/>
      <c r="D55" s="2323">
        <f ca="1">IF(H55="个人住宅",0,ROUND(D45*I55,0))</f>
        <v>0</v>
      </c>
      <c r="E55" s="2333" t="s">
        <v>1362</v>
      </c>
      <c r="F55" s="2553">
        <f>IF(H55="正常",I55,"免征")</f>
        <v>5.0000000000000001E-4</v>
      </c>
      <c r="G55" s="2554"/>
      <c r="H55" s="2549" t="s">
        <v>3394</v>
      </c>
      <c r="I55" s="165">
        <f>'数据-取费表'!B49</f>
        <v>5.0000000000000001E-4</v>
      </c>
      <c r="J55" s="2522" t="str">
        <f>IF(H59="非个人房产","",4)</f>
        <v/>
      </c>
      <c r="K55" s="3626" t="str">
        <f>IF(H59="非个人房产","——","个人所得税")</f>
        <v>——</v>
      </c>
      <c r="L55" s="3626"/>
      <c r="M55" s="2527" t="str">
        <f>D59</f>
        <v>——</v>
      </c>
      <c r="N55" s="2039" t="str">
        <f>E59</f>
        <v>——</v>
      </c>
      <c r="O55" s="2528" t="str">
        <f>F59</f>
        <v>——</v>
      </c>
    </row>
    <row r="56" spans="1:35" ht="24.75">
      <c r="A56" s="3576" t="s">
        <v>1363</v>
      </c>
      <c r="B56" s="3577"/>
      <c r="C56" s="3577"/>
      <c r="D56" s="2323">
        <f ca="1">IF(H56="个人住宅",D57,D58)</f>
        <v>247</v>
      </c>
      <c r="E56" s="2333" t="s">
        <v>1364</v>
      </c>
      <c r="F56" s="2553" t="str">
        <f>IF(H56="正常",F58,"免征")</f>
        <v>——</v>
      </c>
      <c r="G56" s="2556" t="s">
        <v>1365</v>
      </c>
      <c r="H56" s="2557" t="s">
        <v>3394</v>
      </c>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4</v>
      </c>
      <c r="K57" s="3626" t="s">
        <v>1367</v>
      </c>
      <c r="L57" s="2529" t="s">
        <v>1368</v>
      </c>
      <c r="M57" s="2530"/>
      <c r="N57" s="2531">
        <f ca="1">SUMIF(M52:M56,"&lt;9e307")</f>
        <v>270</v>
      </c>
      <c r="O57" s="2532"/>
      <c r="P57" s="2689">
        <f ca="1">N57/M49</f>
        <v>0.61926605504587151</v>
      </c>
    </row>
    <row r="58" spans="1:35" ht="24.75">
      <c r="A58" s="2334" t="s">
        <v>1352</v>
      </c>
      <c r="B58" s="3587" t="s">
        <v>1369</v>
      </c>
      <c r="C58" s="3561"/>
      <c r="D58" s="2323">
        <f ca="1">IF(H58="转让取得",C81,C97)</f>
        <v>247</v>
      </c>
      <c r="E58" s="2333" t="s">
        <v>1364</v>
      </c>
      <c r="F58" s="302" t="s">
        <v>28</v>
      </c>
      <c r="G58" s="2554"/>
      <c r="H58" s="2557" t="s">
        <v>3450</v>
      </c>
      <c r="I58" s="1807"/>
      <c r="J58" s="3626"/>
      <c r="K58" s="3626"/>
      <c r="L58" s="2529" t="s">
        <v>1370</v>
      </c>
      <c r="M58" s="2533"/>
      <c r="N58" s="2534" t="str">
        <f ca="1">NUMBERSTRING(INT(N57*10000),2)&amp;"元整"</f>
        <v>贰佰柒拾万元整</v>
      </c>
      <c r="O58" s="2535"/>
    </row>
    <row r="59" spans="1:35" ht="24.75" thickBot="1">
      <c r="A59" s="3629" t="s">
        <v>1371</v>
      </c>
      <c r="B59" s="3630"/>
      <c r="C59" s="363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3451</v>
      </c>
      <c r="I59" s="2312" t="s">
        <v>2134</v>
      </c>
      <c r="J59" s="3627">
        <f>J57+1</f>
        <v>5</v>
      </c>
      <c r="K59" s="3626" t="s">
        <v>1372</v>
      </c>
      <c r="L59" s="2522" t="s">
        <v>1368</v>
      </c>
      <c r="M59" s="2536"/>
      <c r="N59" s="2537">
        <f ca="1">M49-N57</f>
        <v>166</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壹佰陆拾陆万元整</v>
      </c>
      <c r="O60" s="2535"/>
    </row>
    <row r="61" spans="1:35" ht="13.5" thickBot="1">
      <c r="A61" s="3574" t="s">
        <v>1373</v>
      </c>
      <c r="B61" s="3574"/>
      <c r="C61" s="3574"/>
      <c r="D61" s="3574"/>
      <c r="E61" s="3574"/>
      <c r="F61" s="1807"/>
      <c r="G61" s="1807"/>
      <c r="H61" s="1809"/>
      <c r="I61" s="129"/>
      <c r="J61" s="2522">
        <f>J59+1</f>
        <v>6</v>
      </c>
      <c r="K61" s="3626" t="s">
        <v>1374</v>
      </c>
      <c r="L61" s="3626"/>
      <c r="M61" s="2539"/>
      <c r="N61" s="2540">
        <f ca="1">ROUND(N59*10000/'数据-汇总表'!E3,0)</f>
        <v>6888</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415</v>
      </c>
      <c r="D63" s="167"/>
      <c r="E63" s="168"/>
      <c r="F63" s="1807"/>
      <c r="G63" s="1807"/>
      <c r="H63" s="1809"/>
      <c r="I63" s="129"/>
      <c r="J63" s="3651" t="s">
        <v>1379</v>
      </c>
      <c r="K63" s="1331" t="s">
        <v>1380</v>
      </c>
      <c r="L63" s="1331">
        <f ca="1">IF(M49&gt;10000,M49*0.5%,IF(AND(M49&gt;1000,M49&lt;=10000),M49*1%,IF(AND(M49&gt;100,M49&lt;=1000),M49*3%,IF(AND(M49&gt;10,M49&lt;=100),M49*5%,M49*8%))))</f>
        <v>13.08</v>
      </c>
      <c r="M63" s="302">
        <f ca="1">ROUND(L63,1)</f>
        <v>13.1</v>
      </c>
      <c r="N63" s="2542"/>
      <c r="Z63" s="1751"/>
      <c r="AI63" s="1752"/>
    </row>
    <row r="64" spans="1:35" ht="14.25" customHeight="1">
      <c r="A64" s="169" t="s">
        <v>325</v>
      </c>
      <c r="B64" s="170" t="s">
        <v>1381</v>
      </c>
      <c r="C64" s="2564">
        <f ca="1">D45</f>
        <v>436</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3.488</v>
      </c>
      <c r="M64" s="302">
        <f t="shared" ref="M64:M65" ca="1" si="1">ROUND(L64,1)</f>
        <v>3.5</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4.3600000000000003</v>
      </c>
      <c r="M65" s="302">
        <f t="shared" ca="1" si="1"/>
        <v>4.4000000000000004</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f ca="1">M49*0.5%</f>
        <v>2.1800000000000002</v>
      </c>
      <c r="M66" s="302">
        <f ca="1">IF(L66&gt;0.5,0.5,ROUND(L66,0))</f>
        <v>0.5</v>
      </c>
      <c r="N66" s="2543" t="s">
        <v>1388</v>
      </c>
      <c r="Z66" s="1751"/>
      <c r="AI66" s="1752"/>
    </row>
    <row r="67" spans="1:35" ht="14.25" customHeight="1">
      <c r="A67" s="173" t="s">
        <v>328</v>
      </c>
      <c r="B67" s="174" t="s">
        <v>1389</v>
      </c>
      <c r="C67" s="2567">
        <f ca="1">C63-C66</f>
        <v>415</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1.3399999999999999</v>
      </c>
      <c r="M67" s="302">
        <f ca="1">ROUND(L67*0.9,1)</f>
        <v>1.2</v>
      </c>
      <c r="N67" s="2542"/>
      <c r="Z67" s="1751"/>
      <c r="AI67" s="1752"/>
    </row>
    <row r="68" spans="1:35" ht="14.25" customHeight="1" thickBot="1">
      <c r="A68" s="176" t="s">
        <v>329</v>
      </c>
      <c r="B68" s="177" t="s">
        <v>1391</v>
      </c>
      <c r="C68" s="2568">
        <f ca="1">IF(C67&lt;=0,0,ROUND(C67*D68,0))</f>
        <v>23</v>
      </c>
      <c r="D68" s="2569">
        <f>'数据-取费表'!B41</f>
        <v>5.5000000000000007E-2</v>
      </c>
      <c r="E68" s="178"/>
      <c r="F68" s="1807"/>
      <c r="G68" s="1807"/>
      <c r="H68" s="1809"/>
      <c r="I68" s="129"/>
      <c r="J68" s="3651"/>
      <c r="K68" s="1331" t="s">
        <v>1392</v>
      </c>
      <c r="L68" s="1331">
        <f ca="1">IF(M49&gt;10000,M49*0.5%,IF(AND(M49&gt;5000,M49&lt;=10000),M49*1%,IF(AND(M49&gt;1000,M49&lt;=5000),M49*2%,IF(AND(M49&gt;200,M49&lt;=1000),M49*3%,M49*5%))))</f>
        <v>13.08</v>
      </c>
      <c r="M68" s="302">
        <f ca="1">ROUND(L68,1)</f>
        <v>13.1</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36</v>
      </c>
      <c r="N69" s="2544">
        <f ca="1">M69/M49</f>
        <v>8.2568807339449546E-2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415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413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247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415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项目信息!E14</f>
        <v>0</v>
      </c>
      <c r="D88" s="2576"/>
      <c r="E88" s="193" t="s">
        <v>1413</v>
      </c>
      <c r="F88" s="2326"/>
      <c r="G88" s="194" t="s">
        <v>1414</v>
      </c>
      <c r="H88" s="1823" t="s">
        <v>3453</v>
      </c>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2126</v>
      </c>
      <c r="H90" s="3654"/>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t="s">
        <v>3452</v>
      </c>
      <c r="I91" s="1825">
        <f>项目信息!E16+项目信息!E15</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0.1</v>
      </c>
      <c r="E92" s="3571" t="s">
        <v>1422</v>
      </c>
      <c r="F92" s="3572"/>
      <c r="G92" s="3572"/>
      <c r="H92" s="3581"/>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413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247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成本法 (元)</v>
      </c>
      <c r="D101" s="2585" t="str">
        <f>D4</f>
        <v>收益法 (元)</v>
      </c>
      <c r="E101" s="3648" t="s">
        <v>1431</v>
      </c>
      <c r="F101" s="3605"/>
      <c r="G101" s="1826" t="s">
        <v>1432</v>
      </c>
      <c r="H101" s="2594">
        <f ca="1">H118</f>
        <v>436</v>
      </c>
      <c r="I101" s="129"/>
    </row>
    <row r="102" spans="1:35" ht="18.75" customHeight="1">
      <c r="A102" s="3607" t="s">
        <v>1433</v>
      </c>
      <c r="B102" s="2583" t="s">
        <v>1432</v>
      </c>
      <c r="C102" s="2584">
        <f ca="1">IF(D32="楼面单价",ROUND(C19,0),C19)</f>
        <v>811.41120000000001</v>
      </c>
      <c r="D102" s="2585">
        <f ca="1">IF(D32="楼面单价",ROUND(D19,0),D19)</f>
        <v>185.5642</v>
      </c>
      <c r="E102" s="3648"/>
      <c r="F102" s="3605"/>
      <c r="G102" s="1826" t="s">
        <v>1434</v>
      </c>
      <c r="H102" s="2554">
        <f ca="1">I118</f>
        <v>18091</v>
      </c>
      <c r="I102" s="129"/>
    </row>
    <row r="103" spans="1:35" ht="42.75" customHeight="1">
      <c r="A103" s="3607"/>
      <c r="B103" s="2583" t="s">
        <v>1434</v>
      </c>
      <c r="C103" s="2586">
        <f ca="1">C20</f>
        <v>33669</v>
      </c>
      <c r="D103" s="2587">
        <f ca="1">D20</f>
        <v>7700</v>
      </c>
      <c r="E103" s="3642" t="s">
        <v>1435</v>
      </c>
      <c r="F103" s="3643"/>
      <c r="G103" s="1827" t="s">
        <v>1436</v>
      </c>
      <c r="H103" s="2594">
        <f>IF(D36="正常操作",H104+H105+H106,H105+H106)</f>
        <v>0</v>
      </c>
      <c r="I103" s="129"/>
    </row>
    <row r="104" spans="1:35" ht="18.75" customHeight="1">
      <c r="A104" s="3607" t="s">
        <v>1437</v>
      </c>
      <c r="B104" s="2588" t="s">
        <v>1432</v>
      </c>
      <c r="C104" s="2589">
        <f ca="1">H118</f>
        <v>436</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18091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436</v>
      </c>
      <c r="I107" s="129"/>
    </row>
    <row r="108" spans="1:35" ht="18.75" customHeight="1">
      <c r="A108" s="129"/>
      <c r="B108" s="129"/>
      <c r="C108" s="129"/>
      <c r="D108" s="129"/>
      <c r="E108" s="3604"/>
      <c r="F108" s="3605"/>
      <c r="G108" s="1826" t="s">
        <v>1434</v>
      </c>
      <c r="H108" s="2554">
        <f ca="1">IF(H107=H101,H102,ROUND(H107*10000/'数据-汇总表'!E3,0))</f>
        <v>18091</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241</v>
      </c>
      <c r="C118" s="2328">
        <f>M19</f>
        <v>1429.33</v>
      </c>
      <c r="D118" s="2328">
        <f ca="1">ROUND(IF(D32="总价",C34,E118*B118/10000),0)</f>
        <v>388</v>
      </c>
      <c r="E118" s="2328">
        <f ca="1">ROUND(IF(C33="自定义",IF(D32="楼面单价",C34,D118*10000/B118),I118-G118),0)</f>
        <v>16099</v>
      </c>
      <c r="F118" s="2328">
        <f ca="1">ROUND(IF(D32="总价",C35,G118*B118/10000),0)</f>
        <v>48</v>
      </c>
      <c r="G118" s="2328">
        <f ca="1">ROUND(IF(D32="楼面单价",C35,F118*10000/B118),0)</f>
        <v>1992</v>
      </c>
      <c r="H118" s="2328">
        <f ca="1">ROUND(IF(D32="总价",C32,I118*B118/10000),0)</f>
        <v>436</v>
      </c>
      <c r="I118" s="2328">
        <f ca="1">ROUND(IF(D32="楼面单价",C32,H118*10000/B118),0)</f>
        <v>18091</v>
      </c>
    </row>
    <row r="119" spans="1:27" ht="18.75" customHeight="1">
      <c r="A119" s="3575" t="s">
        <v>1452</v>
      </c>
      <c r="B119" s="3575"/>
      <c r="C119" s="3575"/>
      <c r="D119" s="3615" t="str">
        <f ca="1">NUMBERSTRING(INT(D118*10000),2)&amp;"元整"</f>
        <v>叁佰捌拾捌万元整</v>
      </c>
      <c r="E119" s="3617"/>
      <c r="F119" s="3615" t="str">
        <f ca="1">NUMBERSTRING(INT(F118*10000),2)&amp;"元整"</f>
        <v>肆拾捌万元整</v>
      </c>
      <c r="G119" s="3617"/>
      <c r="H119" s="3615" t="str">
        <f ca="1">NUMBERSTRING(INT(H118*10000),2)&amp;"元整"</f>
        <v>肆佰叁拾陆万元整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436</v>
      </c>
      <c r="E122" s="3640"/>
      <c r="F122" s="3640"/>
      <c r="G122" s="3640"/>
      <c r="H122" s="3640"/>
      <c r="I122" s="3641"/>
      <c r="AA122" s="724"/>
    </row>
    <row r="123" spans="1:27" ht="18.75" customHeight="1">
      <c r="A123" s="3575" t="s">
        <v>1452</v>
      </c>
      <c r="B123" s="3575"/>
      <c r="C123" s="3575"/>
      <c r="D123" s="3615" t="str">
        <f ca="1">NUMBERSTRING(INT(D122*10000),2)&amp;"元整"</f>
        <v>肆佰叁拾陆万元整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K39"/>
  <sheetViews>
    <sheetView workbookViewId="0">
      <selection activeCell="K35" sqref="K35"/>
    </sheetView>
  </sheetViews>
  <sheetFormatPr defaultRowHeight="13.5"/>
  <cols>
    <col min="3" max="3" width="14.375" customWidth="1"/>
    <col min="4" max="4" width="12.5" customWidth="1"/>
    <col min="5" max="5" width="11.375" customWidth="1"/>
    <col min="6" max="6" width="11.75" customWidth="1"/>
    <col min="8" max="8" width="13" customWidth="1"/>
    <col min="9" max="9" width="19.25" customWidth="1"/>
  </cols>
  <sheetData>
    <row r="3" spans="2:9">
      <c r="D3" t="s">
        <v>3454</v>
      </c>
    </row>
    <row r="4" spans="2:9">
      <c r="C4" t="s">
        <v>3455</v>
      </c>
      <c r="D4">
        <v>425.9</v>
      </c>
      <c r="E4">
        <v>1</v>
      </c>
    </row>
    <row r="5" spans="2:9">
      <c r="C5" t="s">
        <v>3456</v>
      </c>
      <c r="D5">
        <v>241</v>
      </c>
      <c r="E5">
        <v>2</v>
      </c>
    </row>
    <row r="6" spans="2:9">
      <c r="C6" t="s">
        <v>3457</v>
      </c>
      <c r="D6">
        <v>241</v>
      </c>
      <c r="E6">
        <v>2</v>
      </c>
    </row>
    <row r="7" spans="2:9">
      <c r="C7" t="s">
        <v>3458</v>
      </c>
      <c r="D7">
        <v>241</v>
      </c>
      <c r="E7">
        <v>2</v>
      </c>
    </row>
    <row r="8" spans="2:9">
      <c r="C8" t="s">
        <v>3459</v>
      </c>
      <c r="D8">
        <v>384.8</v>
      </c>
      <c r="E8">
        <v>2</v>
      </c>
    </row>
    <row r="9" spans="2:9">
      <c r="C9" t="s">
        <v>3460</v>
      </c>
      <c r="D9">
        <v>241</v>
      </c>
      <c r="E9">
        <v>2</v>
      </c>
    </row>
    <row r="10" spans="2:9">
      <c r="D10">
        <f>SUM(D4:D9)</f>
        <v>1774.7</v>
      </c>
      <c r="E10">
        <f>(E4*D4+E5*D5+E6*D6+E7*D7+E8*D8+E9*D9)/D10</f>
        <v>1.7600157773144756</v>
      </c>
      <c r="I10" s="3456"/>
    </row>
    <row r="11" spans="2:9">
      <c r="I11" s="3456"/>
    </row>
    <row r="12" spans="2:9">
      <c r="I12" s="3456"/>
    </row>
    <row r="13" spans="2:9">
      <c r="D13" s="3457"/>
      <c r="E13" s="3457"/>
      <c r="F13" s="3457"/>
    </row>
    <row r="15" spans="2:9">
      <c r="B15" t="s">
        <v>3461</v>
      </c>
      <c r="C15" t="s">
        <v>3462</v>
      </c>
      <c r="D15" t="s">
        <v>3463</v>
      </c>
      <c r="I15" s="3458"/>
    </row>
    <row r="16" spans="2:9">
      <c r="B16">
        <v>4288</v>
      </c>
      <c r="C16" t="s">
        <v>3456</v>
      </c>
      <c r="D16">
        <v>241</v>
      </c>
      <c r="F16">
        <v>19457</v>
      </c>
      <c r="H16">
        <v>469</v>
      </c>
    </row>
    <row r="17" spans="2:8">
      <c r="C17" t="s">
        <v>3457</v>
      </c>
      <c r="D17">
        <v>241</v>
      </c>
      <c r="F17">
        <v>19457</v>
      </c>
      <c r="H17">
        <v>469</v>
      </c>
    </row>
    <row r="18" spans="2:8">
      <c r="C18" t="s">
        <v>3460</v>
      </c>
      <c r="D18">
        <v>241</v>
      </c>
      <c r="F18">
        <v>19457</v>
      </c>
      <c r="H18">
        <v>469</v>
      </c>
    </row>
    <row r="19" spans="2:8">
      <c r="D19">
        <v>723</v>
      </c>
    </row>
    <row r="22" spans="2:8">
      <c r="B22" t="s">
        <v>3461</v>
      </c>
      <c r="C22" t="s">
        <v>3464</v>
      </c>
      <c r="D22" t="s">
        <v>3463</v>
      </c>
    </row>
    <row r="23" spans="2:8">
      <c r="B23">
        <v>5720</v>
      </c>
      <c r="C23" t="s">
        <v>3455</v>
      </c>
      <c r="D23">
        <v>425.9</v>
      </c>
      <c r="F23">
        <v>13516</v>
      </c>
      <c r="H23">
        <v>576</v>
      </c>
    </row>
    <row r="24" spans="2:8">
      <c r="C24" t="s">
        <v>3458</v>
      </c>
      <c r="D24">
        <v>241</v>
      </c>
      <c r="F24">
        <v>18368</v>
      </c>
      <c r="H24">
        <v>443</v>
      </c>
    </row>
    <row r="25" spans="2:8">
      <c r="C25" t="s">
        <v>3459</v>
      </c>
      <c r="D25">
        <v>384.8</v>
      </c>
      <c r="F25">
        <v>18368</v>
      </c>
      <c r="H25">
        <v>707</v>
      </c>
    </row>
    <row r="26" spans="2:8">
      <c r="D26">
        <v>1051.7</v>
      </c>
    </row>
    <row r="31" spans="2:8">
      <c r="E31" s="3655">
        <v>2023</v>
      </c>
      <c r="F31" s="3655"/>
      <c r="G31" s="3655">
        <v>2024</v>
      </c>
      <c r="H31" s="3655"/>
    </row>
    <row r="32" spans="2:8">
      <c r="C32" s="3460" t="s">
        <v>3471</v>
      </c>
      <c r="D32" t="s">
        <v>3465</v>
      </c>
      <c r="E32" t="s">
        <v>3466</v>
      </c>
      <c r="F32" t="s">
        <v>660</v>
      </c>
      <c r="G32" t="s">
        <v>3466</v>
      </c>
      <c r="H32" t="s">
        <v>660</v>
      </c>
    </row>
    <row r="33" spans="3:11">
      <c r="C33" t="s">
        <v>3456</v>
      </c>
      <c r="D33">
        <f>D16</f>
        <v>241</v>
      </c>
      <c r="E33">
        <v>19457</v>
      </c>
      <c r="F33">
        <f>ROUND(D33*E33/10000,0)</f>
        <v>469</v>
      </c>
      <c r="G33">
        <f ca="1">典型户型修正!R28</f>
        <v>18088</v>
      </c>
      <c r="H33">
        <f ca="1">ROUND(D33*G33/10000,0)</f>
        <v>436</v>
      </c>
      <c r="I33" s="3468">
        <f ca="1">ROUND((F33-H33)/F33,5)</f>
        <v>7.0360000000000006E-2</v>
      </c>
      <c r="K33">
        <f ca="1">G33/E33</f>
        <v>0.92963971835329184</v>
      </c>
    </row>
    <row r="34" spans="3:11">
      <c r="C34" t="s">
        <v>3457</v>
      </c>
      <c r="D34">
        <f t="shared" ref="D34:D35" si="0">D17</f>
        <v>241</v>
      </c>
      <c r="E34">
        <v>19457</v>
      </c>
      <c r="F34">
        <f t="shared" ref="F34:F38" si="1">ROUND(D34*E34/10000,0)</f>
        <v>469</v>
      </c>
      <c r="G34">
        <f ca="1">典型户型修正!R27</f>
        <v>18088</v>
      </c>
      <c r="H34">
        <f t="shared" ref="H34:H38" ca="1" si="2">ROUND(D34*G34/10000,0)</f>
        <v>436</v>
      </c>
      <c r="I34" s="3468">
        <f t="shared" ref="I34:I38" ca="1" si="3">ROUND((F34-H34)/F34,5)</f>
        <v>7.0360000000000006E-2</v>
      </c>
    </row>
    <row r="35" spans="3:11">
      <c r="C35" t="s">
        <v>3460</v>
      </c>
      <c r="D35">
        <f t="shared" si="0"/>
        <v>241</v>
      </c>
      <c r="E35">
        <v>19457</v>
      </c>
      <c r="F35">
        <f t="shared" si="1"/>
        <v>469</v>
      </c>
      <c r="G35">
        <f ca="1">典型户型修正!R24</f>
        <v>18088</v>
      </c>
      <c r="H35">
        <f t="shared" ca="1" si="2"/>
        <v>436</v>
      </c>
      <c r="I35" s="3468">
        <f t="shared" ca="1" si="3"/>
        <v>7.0360000000000006E-2</v>
      </c>
    </row>
    <row r="36" spans="3:11">
      <c r="C36" t="s">
        <v>3455</v>
      </c>
      <c r="D36">
        <f>D23</f>
        <v>425.9</v>
      </c>
      <c r="E36">
        <v>13516</v>
      </c>
      <c r="F36">
        <f>ROUND(D36*E36/10000,0)</f>
        <v>576</v>
      </c>
      <c r="G36">
        <f>典型户型修正!R29</f>
        <v>0</v>
      </c>
      <c r="H36">
        <f>ROUND(D36*G36/10000,0)</f>
        <v>0</v>
      </c>
      <c r="I36" s="3468">
        <f t="shared" si="3"/>
        <v>1</v>
      </c>
    </row>
    <row r="37" spans="3:11">
      <c r="C37" t="s">
        <v>3458</v>
      </c>
      <c r="D37">
        <f t="shared" ref="D37:D38" si="4">D24</f>
        <v>241</v>
      </c>
      <c r="E37">
        <v>18368</v>
      </c>
      <c r="F37">
        <f t="shared" si="1"/>
        <v>443</v>
      </c>
      <c r="G37">
        <f>典型户型修正!R26</f>
        <v>0</v>
      </c>
      <c r="H37">
        <f t="shared" si="2"/>
        <v>0</v>
      </c>
      <c r="I37" s="3468">
        <f t="shared" si="3"/>
        <v>1</v>
      </c>
    </row>
    <row r="38" spans="3:11">
      <c r="C38" t="s">
        <v>3459</v>
      </c>
      <c r="D38">
        <f t="shared" si="4"/>
        <v>384.8</v>
      </c>
      <c r="E38">
        <v>18368</v>
      </c>
      <c r="F38">
        <f t="shared" si="1"/>
        <v>707</v>
      </c>
      <c r="G38">
        <f>典型户型修正!R25</f>
        <v>0</v>
      </c>
      <c r="H38">
        <f t="shared" si="2"/>
        <v>0</v>
      </c>
      <c r="I38" s="3468">
        <f t="shared" si="3"/>
        <v>1</v>
      </c>
    </row>
    <row r="39" spans="3:11">
      <c r="C39" t="s">
        <v>3467</v>
      </c>
      <c r="D39">
        <f>SUM(D33:D38)</f>
        <v>1774.7</v>
      </c>
      <c r="F39">
        <f>SUM(F33:F38)</f>
        <v>3133</v>
      </c>
      <c r="H39">
        <f ca="1">SUM(H33:H38)</f>
        <v>1308</v>
      </c>
    </row>
  </sheetData>
  <mergeCells count="2">
    <mergeCell ref="E31:F31"/>
    <mergeCell ref="G31:H31"/>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V30" sqref="V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659" t="s">
        <v>2084</v>
      </c>
      <c r="D1" s="3660"/>
      <c r="E1" s="3660"/>
      <c r="F1" s="3660"/>
      <c r="G1" s="3660"/>
      <c r="H1" s="3660"/>
      <c r="I1" s="3660"/>
      <c r="J1" s="3660"/>
      <c r="K1" s="3660"/>
      <c r="L1" s="3660"/>
      <c r="M1" s="3660"/>
      <c r="N1" s="3660"/>
      <c r="O1" s="3660"/>
      <c r="P1" s="3660"/>
      <c r="Q1" s="3660"/>
      <c r="R1" s="3660"/>
      <c r="S1" s="366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C4-3</f>
        <v>97</v>
      </c>
      <c r="E4" s="989">
        <f t="shared" ref="E4:H4" si="7">D4-3</f>
        <v>94</v>
      </c>
      <c r="F4" s="989">
        <f t="shared" si="7"/>
        <v>91</v>
      </c>
      <c r="G4" s="989">
        <f t="shared" si="7"/>
        <v>88</v>
      </c>
      <c r="H4" s="989">
        <f t="shared" si="7"/>
        <v>85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61" t="s">
        <v>3472</v>
      </c>
      <c r="C5" s="3462" t="s">
        <v>3473</v>
      </c>
      <c r="D5" s="3463" t="s">
        <v>3474</v>
      </c>
      <c r="E5" s="3463" t="s">
        <v>3475</v>
      </c>
      <c r="F5" s="3464" t="s">
        <v>3476</v>
      </c>
      <c r="G5" s="3464" t="s">
        <v>3477</v>
      </c>
      <c r="H5" s="1311"/>
      <c r="I5" s="1311"/>
      <c r="J5" s="1311"/>
      <c r="K5" s="1311"/>
      <c r="L5" s="1312"/>
      <c r="M5" s="1313"/>
      <c r="N5" s="1313"/>
      <c r="O5" s="1311"/>
      <c r="P5" s="1311"/>
      <c r="Q5" s="1311"/>
      <c r="R5" s="1311"/>
      <c r="S5" s="1314"/>
      <c r="T5" s="997">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8">D6-$T5</f>
        <v>94</v>
      </c>
      <c r="F6" s="1315">
        <f t="shared" si="8"/>
        <v>91</v>
      </c>
      <c r="G6" s="1315">
        <f t="shared" si="8"/>
        <v>88</v>
      </c>
      <c r="H6" s="1315">
        <f t="shared" si="8"/>
        <v>85</v>
      </c>
      <c r="I6" s="1315">
        <f t="shared" si="8"/>
        <v>82</v>
      </c>
      <c r="J6" s="1315">
        <f t="shared" si="8"/>
        <v>79</v>
      </c>
      <c r="K6" s="1315">
        <f t="shared" si="8"/>
        <v>76</v>
      </c>
      <c r="L6" s="1315">
        <f t="shared" si="8"/>
        <v>73</v>
      </c>
      <c r="M6" s="1315">
        <f t="shared" si="8"/>
        <v>70</v>
      </c>
      <c r="N6" s="1315">
        <f t="shared" si="8"/>
        <v>67</v>
      </c>
      <c r="O6" s="1315">
        <f t="shared" si="8"/>
        <v>64</v>
      </c>
      <c r="P6" s="1315">
        <f t="shared" si="8"/>
        <v>61</v>
      </c>
      <c r="Q6" s="1315">
        <f t="shared" si="8"/>
        <v>58</v>
      </c>
      <c r="R6" s="1315">
        <f t="shared" si="8"/>
        <v>55</v>
      </c>
      <c r="S6" s="1315">
        <f t="shared" si="8"/>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65" t="s">
        <v>3479</v>
      </c>
      <c r="C7" s="3466" t="s">
        <v>3481</v>
      </c>
      <c r="D7" s="3467" t="s">
        <v>3482</v>
      </c>
      <c r="E7" s="897"/>
      <c r="F7" s="1316"/>
      <c r="G7" s="1316"/>
      <c r="H7" s="1316"/>
      <c r="I7" s="1316"/>
      <c r="J7" s="1316"/>
      <c r="K7" s="1316"/>
      <c r="L7" s="1316"/>
      <c r="M7" s="1317"/>
      <c r="N7" s="1318"/>
      <c r="O7" s="1319"/>
      <c r="P7" s="1320"/>
      <c r="Q7" s="1321"/>
      <c r="R7" s="1322"/>
      <c r="S7" s="1323"/>
      <c r="T7" s="660">
        <v>10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90</v>
      </c>
      <c r="E8" s="901">
        <f t="shared" ref="E8:S8" si="9">D8-$T7</f>
        <v>80</v>
      </c>
      <c r="F8" s="1315">
        <f t="shared" si="9"/>
        <v>70</v>
      </c>
      <c r="G8" s="1315">
        <f t="shared" si="9"/>
        <v>60</v>
      </c>
      <c r="H8" s="1315">
        <f t="shared" si="9"/>
        <v>50</v>
      </c>
      <c r="I8" s="1315">
        <f t="shared" si="9"/>
        <v>40</v>
      </c>
      <c r="J8" s="1315">
        <f t="shared" si="9"/>
        <v>30</v>
      </c>
      <c r="K8" s="1315">
        <f t="shared" si="9"/>
        <v>20</v>
      </c>
      <c r="L8" s="1315">
        <f t="shared" si="9"/>
        <v>10</v>
      </c>
      <c r="M8" s="1315">
        <f t="shared" si="9"/>
        <v>0</v>
      </c>
      <c r="N8" s="1315">
        <f t="shared" si="9"/>
        <v>-10</v>
      </c>
      <c r="O8" s="1315">
        <f t="shared" si="9"/>
        <v>-20</v>
      </c>
      <c r="P8" s="1315">
        <f t="shared" si="9"/>
        <v>-30</v>
      </c>
      <c r="Q8" s="1315">
        <f t="shared" si="9"/>
        <v>-40</v>
      </c>
      <c r="R8" s="1315">
        <f t="shared" si="9"/>
        <v>-50</v>
      </c>
      <c r="S8" s="1315">
        <f t="shared" si="9"/>
        <v>-60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1308</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18091</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723</v>
      </c>
      <c r="C22" s="3656" t="s">
        <v>27</v>
      </c>
      <c r="D22" s="3657"/>
      <c r="E22" s="3657"/>
      <c r="F22" s="3657"/>
      <c r="G22" s="3657"/>
      <c r="H22" s="3657"/>
      <c r="I22" s="3657"/>
      <c r="J22" s="3657"/>
      <c r="K22" s="3657"/>
      <c r="L22" s="3657"/>
      <c r="M22" s="3657"/>
      <c r="N22" s="3657"/>
      <c r="O22" s="3657"/>
      <c r="P22" s="3657"/>
      <c r="Q22" s="3658"/>
      <c r="R22" s="662">
        <f ca="1">ROUND(S22*10000/B22,0)</f>
        <v>18091</v>
      </c>
      <c r="S22" s="21">
        <f ca="1">SUM(S24:S10000)</f>
        <v>1308</v>
      </c>
    </row>
    <row r="23" spans="1:45" s="9" customFormat="1" ht="24">
      <c r="A23" s="8" t="s">
        <v>2098</v>
      </c>
      <c r="B23" s="8" t="s">
        <v>2099</v>
      </c>
      <c r="C23" s="8" t="s">
        <v>2100</v>
      </c>
      <c r="D23" s="8" t="str">
        <f>B5</f>
        <v>建筑物品质</v>
      </c>
      <c r="E23" s="8" t="s">
        <v>2100</v>
      </c>
      <c r="F23" s="8" t="str">
        <f>B7</f>
        <v>用途</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v>
      </c>
      <c r="B24" s="664">
        <f>项目信息!D9</f>
        <v>241</v>
      </c>
      <c r="C24" s="2809">
        <v>1</v>
      </c>
      <c r="D24" s="2810" t="s">
        <v>3401</v>
      </c>
      <c r="E24" s="2809">
        <v>1</v>
      </c>
      <c r="F24" s="2810" t="s">
        <v>3480</v>
      </c>
      <c r="G24" s="2809">
        <v>1</v>
      </c>
      <c r="H24" s="2810"/>
      <c r="I24" s="2809">
        <v>1</v>
      </c>
      <c r="J24" s="2810"/>
      <c r="K24" s="2809">
        <v>1</v>
      </c>
      <c r="L24" s="2810"/>
      <c r="M24" s="2809">
        <v>1</v>
      </c>
      <c r="N24" s="2810"/>
      <c r="O24" s="2809">
        <v>1</v>
      </c>
      <c r="P24" s="2810"/>
      <c r="Q24" s="2809">
        <v>1</v>
      </c>
      <c r="R24" s="667">
        <f ca="1">结果表!G20</f>
        <v>18088</v>
      </c>
      <c r="S24" s="665">
        <f t="shared" ref="S24:S54" ca="1" si="12">ROUND(R24*B24/10000,0)</f>
        <v>436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c r="B25" s="664"/>
      <c r="C25" s="21">
        <f>IF(B25="",1,(LOOKUP(B25,$3:$3,$4:$4)-LOOKUP($B$24,$3:$3,$4:$4)+100)/100)</f>
        <v>1</v>
      </c>
      <c r="D25" s="2810" t="s">
        <v>3401</v>
      </c>
      <c r="E25" s="21">
        <f>(SUMIF($5:$5,D25,$6:$6)-SUMIF($5:$5,$D$24,$6:$6)+100)/100</f>
        <v>1</v>
      </c>
      <c r="F25" s="2810" t="s">
        <v>3480</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2"/>
        <v>0</v>
      </c>
    </row>
    <row r="26" spans="1:45">
      <c r="A26" s="664"/>
      <c r="B26" s="664"/>
      <c r="C26" s="21">
        <f t="shared" ref="C26:C89" si="13">IF(B26="",1,(LOOKUP(B26,$3:$3,$4:$4)-LOOKUP($B$24,$3:$3,$4:$4)+100)/100)</f>
        <v>1</v>
      </c>
      <c r="D26" s="2810" t="s">
        <v>3401</v>
      </c>
      <c r="E26" s="21">
        <f t="shared" ref="E26:E89" si="14">(SUMIF($5:$5,D26,$6:$6)-SUMIF($5:$5,$D$24,$6:$6)+100)/100</f>
        <v>1</v>
      </c>
      <c r="F26" s="2810" t="s">
        <v>3480</v>
      </c>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si="21">IF(B26="",0,ROUND($R$24*C26*E26*G26*I26*K26*M26*O26*Q26,0))</f>
        <v>0</v>
      </c>
      <c r="S26" s="316">
        <f t="shared" si="12"/>
        <v>0</v>
      </c>
    </row>
    <row r="27" spans="1:45">
      <c r="A27" s="664">
        <v>4</v>
      </c>
      <c r="B27" s="664">
        <f>项目信息!D7</f>
        <v>241</v>
      </c>
      <c r="C27" s="21">
        <f t="shared" si="13"/>
        <v>1</v>
      </c>
      <c r="D27" s="2810" t="s">
        <v>3401</v>
      </c>
      <c r="E27" s="21">
        <f t="shared" si="14"/>
        <v>1</v>
      </c>
      <c r="F27" s="2810" t="s">
        <v>3480</v>
      </c>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18088</v>
      </c>
      <c r="S27" s="316">
        <f t="shared" ca="1" si="12"/>
        <v>436</v>
      </c>
    </row>
    <row r="28" spans="1:45">
      <c r="A28" s="664">
        <v>3</v>
      </c>
      <c r="B28" s="664">
        <f>项目信息!D5</f>
        <v>241</v>
      </c>
      <c r="C28" s="21">
        <f t="shared" si="13"/>
        <v>1</v>
      </c>
      <c r="D28" s="2810" t="s">
        <v>3401</v>
      </c>
      <c r="E28" s="21">
        <f t="shared" si="14"/>
        <v>1</v>
      </c>
      <c r="F28" s="2810" t="s">
        <v>3480</v>
      </c>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18088</v>
      </c>
      <c r="S28" s="316">
        <f t="shared" ca="1" si="12"/>
        <v>436</v>
      </c>
    </row>
    <row r="29" spans="1:45">
      <c r="A29" s="664"/>
      <c r="B29" s="664"/>
      <c r="C29" s="21">
        <f t="shared" si="13"/>
        <v>1</v>
      </c>
      <c r="D29" s="666"/>
      <c r="E29" s="21">
        <f t="shared" si="14"/>
        <v>0.03</v>
      </c>
      <c r="F29" s="666"/>
      <c r="G29" s="21">
        <f t="shared" si="15"/>
        <v>0</v>
      </c>
      <c r="H29" s="666"/>
      <c r="I29" s="21">
        <f t="shared" si="16"/>
        <v>1</v>
      </c>
      <c r="J29" s="666"/>
      <c r="K29" s="21">
        <f t="shared" si="17"/>
        <v>1</v>
      </c>
      <c r="L29" s="666"/>
      <c r="M29" s="21">
        <f t="shared" si="18"/>
        <v>1</v>
      </c>
      <c r="N29" s="666"/>
      <c r="O29" s="21">
        <f t="shared" si="19"/>
        <v>1</v>
      </c>
      <c r="P29" s="666"/>
      <c r="Q29" s="21">
        <f t="shared" si="20"/>
        <v>1</v>
      </c>
      <c r="R29" s="662">
        <f t="shared" si="21"/>
        <v>0</v>
      </c>
      <c r="S29" s="316">
        <f t="shared" si="12"/>
        <v>0</v>
      </c>
    </row>
    <row r="30" spans="1:45">
      <c r="A30" s="664"/>
      <c r="B30" s="664"/>
      <c r="C30" s="21">
        <f t="shared" si="13"/>
        <v>1</v>
      </c>
      <c r="D30" s="666"/>
      <c r="E30" s="21">
        <f t="shared" si="14"/>
        <v>0.03</v>
      </c>
      <c r="F30" s="666"/>
      <c r="G30" s="21">
        <f t="shared" si="15"/>
        <v>0</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2"/>
        <v>0</v>
      </c>
    </row>
    <row r="31" spans="1:45">
      <c r="A31" s="664"/>
      <c r="B31" s="54"/>
      <c r="C31" s="21">
        <f t="shared" si="13"/>
        <v>1</v>
      </c>
      <c r="D31" s="666"/>
      <c r="E31" s="21">
        <f t="shared" si="14"/>
        <v>0.03</v>
      </c>
      <c r="F31" s="666"/>
      <c r="G31" s="21">
        <f t="shared" si="15"/>
        <v>0</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2"/>
        <v>0</v>
      </c>
    </row>
    <row r="32" spans="1:45">
      <c r="A32" s="664"/>
      <c r="B32" s="54"/>
      <c r="C32" s="21">
        <f t="shared" si="13"/>
        <v>1</v>
      </c>
      <c r="D32" s="666"/>
      <c r="E32" s="21">
        <f t="shared" si="14"/>
        <v>0.03</v>
      </c>
      <c r="F32" s="666"/>
      <c r="G32" s="21">
        <f t="shared" si="15"/>
        <v>0</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2"/>
        <v>0</v>
      </c>
    </row>
    <row r="33" spans="1:19">
      <c r="A33" s="664"/>
      <c r="B33" s="54"/>
      <c r="C33" s="21">
        <f t="shared" si="13"/>
        <v>1</v>
      </c>
      <c r="D33" s="666"/>
      <c r="E33" s="21">
        <f t="shared" si="14"/>
        <v>0.03</v>
      </c>
      <c r="F33" s="666"/>
      <c r="G33" s="21">
        <f t="shared" si="15"/>
        <v>0</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2"/>
        <v>0</v>
      </c>
    </row>
    <row r="34" spans="1:19">
      <c r="A34" s="664"/>
      <c r="B34" s="54"/>
      <c r="C34" s="21">
        <f t="shared" si="13"/>
        <v>1</v>
      </c>
      <c r="D34" s="666"/>
      <c r="E34" s="21">
        <f t="shared" si="14"/>
        <v>0.03</v>
      </c>
      <c r="F34" s="666"/>
      <c r="G34" s="21">
        <f t="shared" si="15"/>
        <v>0</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2"/>
        <v>0</v>
      </c>
    </row>
    <row r="35" spans="1:19">
      <c r="A35" s="664"/>
      <c r="B35" s="54"/>
      <c r="C35" s="21">
        <f t="shared" si="13"/>
        <v>1</v>
      </c>
      <c r="D35" s="666"/>
      <c r="E35" s="21">
        <f t="shared" si="14"/>
        <v>0.03</v>
      </c>
      <c r="F35" s="666"/>
      <c r="G35" s="21">
        <f t="shared" si="15"/>
        <v>0</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2"/>
        <v>0</v>
      </c>
    </row>
    <row r="36" spans="1:19">
      <c r="A36" s="664"/>
      <c r="B36" s="54"/>
      <c r="C36" s="21">
        <f t="shared" si="13"/>
        <v>1</v>
      </c>
      <c r="D36" s="666"/>
      <c r="E36" s="21">
        <f t="shared" si="14"/>
        <v>0.03</v>
      </c>
      <c r="F36" s="666"/>
      <c r="G36" s="21">
        <f t="shared" si="15"/>
        <v>0</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2"/>
        <v>0</v>
      </c>
    </row>
    <row r="37" spans="1:19">
      <c r="A37" s="664"/>
      <c r="B37" s="54"/>
      <c r="C37" s="21">
        <f t="shared" si="13"/>
        <v>1</v>
      </c>
      <c r="D37" s="666"/>
      <c r="E37" s="21">
        <f t="shared" si="14"/>
        <v>0.03</v>
      </c>
      <c r="F37" s="666"/>
      <c r="G37" s="21">
        <f t="shared" si="15"/>
        <v>0</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2"/>
        <v>0</v>
      </c>
    </row>
    <row r="38" spans="1:19">
      <c r="A38" s="664"/>
      <c r="B38" s="54"/>
      <c r="C38" s="21">
        <f t="shared" si="13"/>
        <v>1</v>
      </c>
      <c r="D38" s="666"/>
      <c r="E38" s="21">
        <f t="shared" si="14"/>
        <v>0.03</v>
      </c>
      <c r="F38" s="666"/>
      <c r="G38" s="21">
        <f t="shared" si="15"/>
        <v>0</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2"/>
        <v>0</v>
      </c>
    </row>
    <row r="39" spans="1:19">
      <c r="A39" s="664"/>
      <c r="B39" s="54"/>
      <c r="C39" s="21">
        <f t="shared" si="13"/>
        <v>1</v>
      </c>
      <c r="D39" s="666"/>
      <c r="E39" s="21">
        <f t="shared" si="14"/>
        <v>0.03</v>
      </c>
      <c r="F39" s="666"/>
      <c r="G39" s="21">
        <f t="shared" si="15"/>
        <v>0</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2"/>
        <v>0</v>
      </c>
    </row>
    <row r="40" spans="1:19">
      <c r="A40" s="664"/>
      <c r="B40" s="54"/>
      <c r="C40" s="21">
        <f t="shared" si="13"/>
        <v>1</v>
      </c>
      <c r="D40" s="666"/>
      <c r="E40" s="21">
        <f t="shared" si="14"/>
        <v>0.03</v>
      </c>
      <c r="F40" s="666"/>
      <c r="G40" s="21">
        <f t="shared" si="15"/>
        <v>0</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2"/>
        <v>0</v>
      </c>
    </row>
    <row r="41" spans="1:19">
      <c r="A41" s="664"/>
      <c r="B41" s="54"/>
      <c r="C41" s="21">
        <f t="shared" si="13"/>
        <v>1</v>
      </c>
      <c r="D41" s="666"/>
      <c r="E41" s="21">
        <f t="shared" si="14"/>
        <v>0.03</v>
      </c>
      <c r="F41" s="666"/>
      <c r="G41" s="21">
        <f t="shared" si="15"/>
        <v>0</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2"/>
        <v>0</v>
      </c>
    </row>
    <row r="42" spans="1:19">
      <c r="A42" s="664"/>
      <c r="B42" s="54"/>
      <c r="C42" s="21">
        <f t="shared" si="13"/>
        <v>1</v>
      </c>
      <c r="D42" s="666"/>
      <c r="E42" s="21">
        <f t="shared" si="14"/>
        <v>0.03</v>
      </c>
      <c r="F42" s="666"/>
      <c r="G42" s="21">
        <f t="shared" si="15"/>
        <v>0</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2"/>
        <v>0</v>
      </c>
    </row>
    <row r="43" spans="1:19">
      <c r="A43" s="664"/>
      <c r="B43" s="54"/>
      <c r="C43" s="21">
        <f t="shared" si="13"/>
        <v>1</v>
      </c>
      <c r="D43" s="666"/>
      <c r="E43" s="21">
        <f t="shared" si="14"/>
        <v>0.03</v>
      </c>
      <c r="F43" s="666"/>
      <c r="G43" s="21">
        <f t="shared" si="15"/>
        <v>0</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2"/>
        <v>0</v>
      </c>
    </row>
    <row r="44" spans="1:19">
      <c r="A44" s="664"/>
      <c r="B44" s="54"/>
      <c r="C44" s="21">
        <f t="shared" si="13"/>
        <v>1</v>
      </c>
      <c r="D44" s="666"/>
      <c r="E44" s="21">
        <f t="shared" si="14"/>
        <v>0.03</v>
      </c>
      <c r="F44" s="666"/>
      <c r="G44" s="21">
        <f t="shared" si="15"/>
        <v>0</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2"/>
        <v>0</v>
      </c>
    </row>
    <row r="45" spans="1:19">
      <c r="A45" s="664"/>
      <c r="B45" s="54"/>
      <c r="C45" s="21">
        <f t="shared" si="13"/>
        <v>1</v>
      </c>
      <c r="D45" s="666"/>
      <c r="E45" s="21">
        <f t="shared" si="14"/>
        <v>0.03</v>
      </c>
      <c r="F45" s="666"/>
      <c r="G45" s="21">
        <f t="shared" si="15"/>
        <v>0</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2"/>
        <v>0</v>
      </c>
    </row>
    <row r="46" spans="1:19">
      <c r="A46" s="664"/>
      <c r="B46" s="54"/>
      <c r="C46" s="21">
        <f t="shared" si="13"/>
        <v>1</v>
      </c>
      <c r="D46" s="666"/>
      <c r="E46" s="21">
        <f t="shared" si="14"/>
        <v>0.03</v>
      </c>
      <c r="F46" s="666"/>
      <c r="G46" s="21">
        <f t="shared" si="15"/>
        <v>0</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2"/>
        <v>0</v>
      </c>
    </row>
    <row r="47" spans="1:19">
      <c r="A47" s="664"/>
      <c r="B47" s="54"/>
      <c r="C47" s="21">
        <f t="shared" si="13"/>
        <v>1</v>
      </c>
      <c r="D47" s="666"/>
      <c r="E47" s="21">
        <f t="shared" si="14"/>
        <v>0.03</v>
      </c>
      <c r="F47" s="666"/>
      <c r="G47" s="21">
        <f t="shared" si="15"/>
        <v>0</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2"/>
        <v>0</v>
      </c>
    </row>
    <row r="48" spans="1:19">
      <c r="A48" s="664"/>
      <c r="B48" s="54"/>
      <c r="C48" s="21">
        <f t="shared" si="13"/>
        <v>1</v>
      </c>
      <c r="D48" s="666"/>
      <c r="E48" s="21">
        <f t="shared" si="14"/>
        <v>0.03</v>
      </c>
      <c r="F48" s="666"/>
      <c r="G48" s="21">
        <f t="shared" si="15"/>
        <v>0</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2"/>
        <v>0</v>
      </c>
    </row>
    <row r="49" spans="1:19">
      <c r="A49" s="664"/>
      <c r="B49" s="54"/>
      <c r="C49" s="21">
        <f t="shared" si="13"/>
        <v>1</v>
      </c>
      <c r="D49" s="666"/>
      <c r="E49" s="21">
        <f t="shared" si="14"/>
        <v>0.03</v>
      </c>
      <c r="F49" s="666"/>
      <c r="G49" s="21">
        <f t="shared" si="15"/>
        <v>0</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2"/>
        <v>0</v>
      </c>
    </row>
    <row r="50" spans="1:19">
      <c r="A50" s="664"/>
      <c r="B50" s="54"/>
      <c r="C50" s="21">
        <f t="shared" si="13"/>
        <v>1</v>
      </c>
      <c r="D50" s="666"/>
      <c r="E50" s="21">
        <f t="shared" si="14"/>
        <v>0.03</v>
      </c>
      <c r="F50" s="666"/>
      <c r="G50" s="21">
        <f t="shared" si="15"/>
        <v>0</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2"/>
        <v>0</v>
      </c>
    </row>
    <row r="51" spans="1:19">
      <c r="A51" s="664"/>
      <c r="B51" s="54"/>
      <c r="C51" s="21">
        <f t="shared" si="13"/>
        <v>1</v>
      </c>
      <c r="D51" s="666"/>
      <c r="E51" s="21">
        <f t="shared" si="14"/>
        <v>0.03</v>
      </c>
      <c r="F51" s="666"/>
      <c r="G51" s="21">
        <f t="shared" si="15"/>
        <v>0</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2"/>
        <v>0</v>
      </c>
    </row>
    <row r="52" spans="1:19">
      <c r="A52" s="664"/>
      <c r="B52" s="54"/>
      <c r="C52" s="21">
        <f t="shared" si="13"/>
        <v>1</v>
      </c>
      <c r="D52" s="666"/>
      <c r="E52" s="21">
        <f t="shared" si="14"/>
        <v>0.03</v>
      </c>
      <c r="F52" s="666"/>
      <c r="G52" s="21">
        <f t="shared" si="15"/>
        <v>0</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2"/>
        <v>0</v>
      </c>
    </row>
    <row r="53" spans="1:19">
      <c r="A53" s="664"/>
      <c r="B53" s="54"/>
      <c r="C53" s="21">
        <f t="shared" si="13"/>
        <v>1</v>
      </c>
      <c r="D53" s="666"/>
      <c r="E53" s="21">
        <f t="shared" si="14"/>
        <v>0.03</v>
      </c>
      <c r="F53" s="666"/>
      <c r="G53" s="21">
        <f t="shared" si="15"/>
        <v>0</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2"/>
        <v>0</v>
      </c>
    </row>
    <row r="54" spans="1:19">
      <c r="A54" s="664"/>
      <c r="B54" s="54"/>
      <c r="C54" s="21">
        <f t="shared" si="13"/>
        <v>1</v>
      </c>
      <c r="D54" s="666"/>
      <c r="E54" s="21">
        <f t="shared" si="14"/>
        <v>0.03</v>
      </c>
      <c r="F54" s="666"/>
      <c r="G54" s="21">
        <f t="shared" si="15"/>
        <v>0</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2"/>
        <v>0</v>
      </c>
    </row>
    <row r="55" spans="1:19">
      <c r="A55" s="664"/>
      <c r="B55" s="54"/>
      <c r="C55" s="21">
        <f t="shared" si="13"/>
        <v>1</v>
      </c>
      <c r="D55" s="666"/>
      <c r="E55" s="21">
        <f t="shared" si="14"/>
        <v>0.03</v>
      </c>
      <c r="F55" s="666"/>
      <c r="G55" s="21">
        <f t="shared" si="15"/>
        <v>0</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664"/>
      <c r="B56" s="54"/>
      <c r="C56" s="21">
        <f t="shared" si="13"/>
        <v>1</v>
      </c>
      <c r="D56" s="666"/>
      <c r="E56" s="21">
        <f t="shared" si="14"/>
        <v>0.03</v>
      </c>
      <c r="F56" s="666"/>
      <c r="G56" s="21">
        <f t="shared" si="15"/>
        <v>0</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664"/>
      <c r="B57" s="54"/>
      <c r="C57" s="21">
        <f t="shared" si="13"/>
        <v>1</v>
      </c>
      <c r="D57" s="666"/>
      <c r="E57" s="21">
        <f t="shared" si="14"/>
        <v>0.03</v>
      </c>
      <c r="F57" s="666"/>
      <c r="G57" s="21">
        <f t="shared" si="15"/>
        <v>0</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664"/>
      <c r="B58" s="54"/>
      <c r="C58" s="21">
        <f t="shared" si="13"/>
        <v>1</v>
      </c>
      <c r="D58" s="666"/>
      <c r="E58" s="21">
        <f t="shared" si="14"/>
        <v>0.03</v>
      </c>
      <c r="F58" s="666"/>
      <c r="G58" s="21">
        <f t="shared" si="15"/>
        <v>0</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664"/>
      <c r="B59" s="54"/>
      <c r="C59" s="21">
        <f t="shared" si="13"/>
        <v>1</v>
      </c>
      <c r="D59" s="666"/>
      <c r="E59" s="21">
        <f t="shared" si="14"/>
        <v>0.03</v>
      </c>
      <c r="F59" s="666"/>
      <c r="G59" s="21">
        <f t="shared" si="15"/>
        <v>0</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664"/>
      <c r="B60" s="54"/>
      <c r="C60" s="21">
        <f t="shared" si="13"/>
        <v>1</v>
      </c>
      <c r="D60" s="666"/>
      <c r="E60" s="21">
        <f t="shared" si="14"/>
        <v>0.03</v>
      </c>
      <c r="F60" s="666"/>
      <c r="G60" s="21">
        <f t="shared" si="15"/>
        <v>0</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664"/>
      <c r="B61" s="54"/>
      <c r="C61" s="21">
        <f t="shared" si="13"/>
        <v>1</v>
      </c>
      <c r="D61" s="666"/>
      <c r="E61" s="21">
        <f t="shared" si="14"/>
        <v>0.03</v>
      </c>
      <c r="F61" s="666"/>
      <c r="G61" s="21">
        <f t="shared" si="15"/>
        <v>0</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664"/>
      <c r="B62" s="54"/>
      <c r="C62" s="21">
        <f t="shared" si="13"/>
        <v>1</v>
      </c>
      <c r="D62" s="666"/>
      <c r="E62" s="21">
        <f t="shared" si="14"/>
        <v>0.03</v>
      </c>
      <c r="F62" s="666"/>
      <c r="G62" s="21">
        <f t="shared" si="15"/>
        <v>0</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664"/>
      <c r="B63" s="54"/>
      <c r="C63" s="21">
        <f t="shared" si="13"/>
        <v>1</v>
      </c>
      <c r="D63" s="666"/>
      <c r="E63" s="21">
        <f t="shared" si="14"/>
        <v>0.03</v>
      </c>
      <c r="F63" s="666"/>
      <c r="G63" s="21">
        <f t="shared" si="15"/>
        <v>0</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664"/>
      <c r="B64" s="54"/>
      <c r="C64" s="21">
        <f t="shared" si="13"/>
        <v>1</v>
      </c>
      <c r="D64" s="666"/>
      <c r="E64" s="21">
        <f t="shared" si="14"/>
        <v>0.03</v>
      </c>
      <c r="F64" s="666"/>
      <c r="G64" s="21">
        <f t="shared" si="15"/>
        <v>0</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664"/>
      <c r="B65" s="54"/>
      <c r="C65" s="21">
        <f t="shared" si="13"/>
        <v>1</v>
      </c>
      <c r="D65" s="666"/>
      <c r="E65" s="21">
        <f t="shared" si="14"/>
        <v>0.03</v>
      </c>
      <c r="F65" s="666"/>
      <c r="G65" s="21">
        <f t="shared" si="15"/>
        <v>0</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664"/>
      <c r="B66" s="54"/>
      <c r="C66" s="21">
        <f t="shared" si="13"/>
        <v>1</v>
      </c>
      <c r="D66" s="666"/>
      <c r="E66" s="21">
        <f t="shared" si="14"/>
        <v>0.03</v>
      </c>
      <c r="F66" s="666"/>
      <c r="G66" s="21">
        <f t="shared" si="15"/>
        <v>0</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664"/>
      <c r="B67" s="54"/>
      <c r="C67" s="21">
        <f t="shared" si="13"/>
        <v>1</v>
      </c>
      <c r="D67" s="666"/>
      <c r="E67" s="21">
        <f t="shared" si="14"/>
        <v>0.03</v>
      </c>
      <c r="F67" s="666"/>
      <c r="G67" s="21">
        <f t="shared" si="15"/>
        <v>0</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664"/>
      <c r="B68" s="54"/>
      <c r="C68" s="21">
        <f t="shared" si="13"/>
        <v>1</v>
      </c>
      <c r="D68" s="666"/>
      <c r="E68" s="21">
        <f t="shared" si="14"/>
        <v>0.03</v>
      </c>
      <c r="F68" s="666"/>
      <c r="G68" s="21">
        <f t="shared" si="15"/>
        <v>0</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664"/>
      <c r="B69" s="54"/>
      <c r="C69" s="21">
        <f t="shared" si="13"/>
        <v>1</v>
      </c>
      <c r="D69" s="666"/>
      <c r="E69" s="21">
        <f t="shared" si="14"/>
        <v>0.03</v>
      </c>
      <c r="F69" s="666"/>
      <c r="G69" s="21">
        <f t="shared" si="15"/>
        <v>0</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664"/>
      <c r="B70" s="54"/>
      <c r="C70" s="21">
        <f t="shared" si="13"/>
        <v>1</v>
      </c>
      <c r="D70" s="666"/>
      <c r="E70" s="21">
        <f t="shared" si="14"/>
        <v>0.03</v>
      </c>
      <c r="F70" s="666"/>
      <c r="G70" s="21">
        <f t="shared" si="15"/>
        <v>0</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664"/>
      <c r="B71" s="54"/>
      <c r="C71" s="21">
        <f t="shared" si="13"/>
        <v>1</v>
      </c>
      <c r="D71" s="666"/>
      <c r="E71" s="21">
        <f t="shared" si="14"/>
        <v>0.03</v>
      </c>
      <c r="F71" s="666"/>
      <c r="G71" s="21">
        <f t="shared" si="15"/>
        <v>0</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664"/>
      <c r="B72" s="54"/>
      <c r="C72" s="21">
        <f t="shared" si="13"/>
        <v>1</v>
      </c>
      <c r="D72" s="666"/>
      <c r="E72" s="21">
        <f t="shared" si="14"/>
        <v>0.03</v>
      </c>
      <c r="F72" s="666"/>
      <c r="G72" s="21">
        <f t="shared" si="15"/>
        <v>0</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664"/>
      <c r="B73" s="54"/>
      <c r="C73" s="21">
        <f t="shared" si="13"/>
        <v>1</v>
      </c>
      <c r="D73" s="666"/>
      <c r="E73" s="21">
        <f t="shared" si="14"/>
        <v>0.03</v>
      </c>
      <c r="F73" s="666"/>
      <c r="G73" s="21">
        <f t="shared" si="15"/>
        <v>0</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664"/>
      <c r="B74" s="54"/>
      <c r="C74" s="21">
        <f t="shared" si="13"/>
        <v>1</v>
      </c>
      <c r="D74" s="666"/>
      <c r="E74" s="21">
        <f t="shared" si="14"/>
        <v>0.03</v>
      </c>
      <c r="F74" s="666"/>
      <c r="G74" s="21">
        <f t="shared" si="15"/>
        <v>0</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664"/>
      <c r="B75" s="54"/>
      <c r="C75" s="21">
        <f t="shared" si="13"/>
        <v>1</v>
      </c>
      <c r="D75" s="666"/>
      <c r="E75" s="21">
        <f t="shared" si="14"/>
        <v>0.03</v>
      </c>
      <c r="F75" s="666"/>
      <c r="G75" s="21">
        <f t="shared" si="15"/>
        <v>0</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664"/>
      <c r="B76" s="54"/>
      <c r="C76" s="21">
        <f t="shared" si="13"/>
        <v>1</v>
      </c>
      <c r="D76" s="666"/>
      <c r="E76" s="21">
        <f t="shared" si="14"/>
        <v>0.03</v>
      </c>
      <c r="F76" s="666"/>
      <c r="G76" s="21">
        <f t="shared" si="15"/>
        <v>0</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664"/>
      <c r="B77" s="54"/>
      <c r="C77" s="21">
        <f t="shared" si="13"/>
        <v>1</v>
      </c>
      <c r="D77" s="666"/>
      <c r="E77" s="21">
        <f t="shared" si="14"/>
        <v>0.03</v>
      </c>
      <c r="F77" s="666"/>
      <c r="G77" s="21">
        <f t="shared" si="15"/>
        <v>0</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664"/>
      <c r="B78" s="54"/>
      <c r="C78" s="21">
        <f t="shared" si="13"/>
        <v>1</v>
      </c>
      <c r="D78" s="666"/>
      <c r="E78" s="21">
        <f t="shared" si="14"/>
        <v>0.03</v>
      </c>
      <c r="F78" s="666"/>
      <c r="G78" s="21">
        <f t="shared" si="15"/>
        <v>0</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664"/>
      <c r="B79" s="54"/>
      <c r="C79" s="21">
        <f t="shared" si="13"/>
        <v>1</v>
      </c>
      <c r="D79" s="666"/>
      <c r="E79" s="21">
        <f t="shared" si="14"/>
        <v>0.03</v>
      </c>
      <c r="F79" s="666"/>
      <c r="G79" s="21">
        <f t="shared" si="15"/>
        <v>0</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664"/>
      <c r="B80" s="54"/>
      <c r="C80" s="21">
        <f t="shared" si="13"/>
        <v>1</v>
      </c>
      <c r="D80" s="666"/>
      <c r="E80" s="21">
        <f t="shared" si="14"/>
        <v>0.03</v>
      </c>
      <c r="F80" s="666"/>
      <c r="G80" s="21">
        <f t="shared" si="15"/>
        <v>0</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664"/>
      <c r="B81" s="54"/>
      <c r="C81" s="21">
        <f t="shared" si="13"/>
        <v>1</v>
      </c>
      <c r="D81" s="666"/>
      <c r="E81" s="21">
        <f t="shared" si="14"/>
        <v>0.03</v>
      </c>
      <c r="F81" s="666"/>
      <c r="G81" s="21">
        <f t="shared" si="15"/>
        <v>0</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664"/>
      <c r="B82" s="54"/>
      <c r="C82" s="21">
        <f t="shared" si="13"/>
        <v>1</v>
      </c>
      <c r="D82" s="666"/>
      <c r="E82" s="21">
        <f t="shared" si="14"/>
        <v>0.03</v>
      </c>
      <c r="F82" s="666"/>
      <c r="G82" s="21">
        <f t="shared" si="15"/>
        <v>0</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664"/>
      <c r="B83" s="54"/>
      <c r="C83" s="21">
        <f t="shared" si="13"/>
        <v>1</v>
      </c>
      <c r="D83" s="666"/>
      <c r="E83" s="21">
        <f t="shared" si="14"/>
        <v>0.03</v>
      </c>
      <c r="F83" s="666"/>
      <c r="G83" s="21">
        <f t="shared" si="15"/>
        <v>0</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664"/>
      <c r="B84" s="54"/>
      <c r="C84" s="21">
        <f t="shared" si="13"/>
        <v>1</v>
      </c>
      <c r="D84" s="666"/>
      <c r="E84" s="21">
        <f t="shared" si="14"/>
        <v>0.03</v>
      </c>
      <c r="F84" s="666"/>
      <c r="G84" s="21">
        <f t="shared" si="15"/>
        <v>0</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664"/>
      <c r="B85" s="54"/>
      <c r="C85" s="21">
        <f t="shared" si="13"/>
        <v>1</v>
      </c>
      <c r="D85" s="666"/>
      <c r="E85" s="21">
        <f t="shared" si="14"/>
        <v>0.03</v>
      </c>
      <c r="F85" s="666"/>
      <c r="G85" s="21">
        <f t="shared" si="15"/>
        <v>0</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664"/>
      <c r="B86" s="54"/>
      <c r="C86" s="21">
        <f t="shared" si="13"/>
        <v>1</v>
      </c>
      <c r="D86" s="666"/>
      <c r="E86" s="21">
        <f t="shared" si="14"/>
        <v>0.03</v>
      </c>
      <c r="F86" s="666"/>
      <c r="G86" s="21">
        <f t="shared" si="15"/>
        <v>0</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664"/>
      <c r="B87" s="54"/>
      <c r="C87" s="21">
        <f t="shared" si="13"/>
        <v>1</v>
      </c>
      <c r="D87" s="666"/>
      <c r="E87" s="21">
        <f t="shared" si="14"/>
        <v>0.03</v>
      </c>
      <c r="F87" s="666"/>
      <c r="G87" s="21">
        <f t="shared" si="15"/>
        <v>0</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664"/>
      <c r="B88" s="54"/>
      <c r="C88" s="21">
        <f t="shared" si="13"/>
        <v>1</v>
      </c>
      <c r="D88" s="666"/>
      <c r="E88" s="21">
        <f t="shared" si="14"/>
        <v>0.03</v>
      </c>
      <c r="F88" s="666"/>
      <c r="G88" s="21">
        <f t="shared" si="15"/>
        <v>0</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664"/>
      <c r="B89" s="54"/>
      <c r="C89" s="21">
        <f t="shared" si="13"/>
        <v>1</v>
      </c>
      <c r="D89" s="666"/>
      <c r="E89" s="21">
        <f t="shared" si="14"/>
        <v>0.03</v>
      </c>
      <c r="F89" s="666"/>
      <c r="G89" s="21">
        <f t="shared" si="15"/>
        <v>0</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664"/>
      <c r="B90" s="54"/>
      <c r="C90" s="21">
        <f t="shared" ref="C90:C153" si="24">IF(B90="",1,(LOOKUP(B90,$3:$3,$4:$4)-LOOKUP($B$24,$3:$3,$4:$4)+100)/100)</f>
        <v>1</v>
      </c>
      <c r="D90" s="666"/>
      <c r="E90" s="21">
        <f t="shared" ref="E90:E153" si="25">(SUMIF($5:$5,D90,$6:$6)-SUMIF($5:$5,$D$24,$6:$6)+100)/100</f>
        <v>0.03</v>
      </c>
      <c r="F90" s="666"/>
      <c r="G90" s="21">
        <f t="shared" ref="G90:G153" si="26">(SUMIF($7:$7,F90,$8:$8)-SUMIF($7:$7,$F$24,$8:$8)+100)/100</f>
        <v>0</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664"/>
      <c r="B91" s="54"/>
      <c r="C91" s="21">
        <f t="shared" si="24"/>
        <v>1</v>
      </c>
      <c r="D91" s="666"/>
      <c r="E91" s="21">
        <f t="shared" si="25"/>
        <v>0.03</v>
      </c>
      <c r="F91" s="666"/>
      <c r="G91" s="21">
        <f t="shared" si="26"/>
        <v>0</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664"/>
      <c r="B92" s="54"/>
      <c r="C92" s="21">
        <f t="shared" si="24"/>
        <v>1</v>
      </c>
      <c r="D92" s="666"/>
      <c r="E92" s="21">
        <f t="shared" si="25"/>
        <v>0.03</v>
      </c>
      <c r="F92" s="666"/>
      <c r="G92" s="21">
        <f t="shared" si="26"/>
        <v>0</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664"/>
      <c r="B93" s="54"/>
      <c r="C93" s="21">
        <f t="shared" si="24"/>
        <v>1</v>
      </c>
      <c r="D93" s="666"/>
      <c r="E93" s="21">
        <f t="shared" si="25"/>
        <v>0.03</v>
      </c>
      <c r="F93" s="666"/>
      <c r="G93" s="21">
        <f t="shared" si="26"/>
        <v>0</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664"/>
      <c r="B94" s="54"/>
      <c r="C94" s="21">
        <f t="shared" si="24"/>
        <v>1</v>
      </c>
      <c r="D94" s="666"/>
      <c r="E94" s="21">
        <f t="shared" si="25"/>
        <v>0.03</v>
      </c>
      <c r="F94" s="666"/>
      <c r="G94" s="21">
        <f t="shared" si="26"/>
        <v>0</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664"/>
      <c r="B95" s="54"/>
      <c r="C95" s="21">
        <f t="shared" si="24"/>
        <v>1</v>
      </c>
      <c r="D95" s="666"/>
      <c r="E95" s="21">
        <f t="shared" si="25"/>
        <v>0.03</v>
      </c>
      <c r="F95" s="666"/>
      <c r="G95" s="21">
        <f t="shared" si="26"/>
        <v>0</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664"/>
      <c r="B96" s="54"/>
      <c r="C96" s="21">
        <f t="shared" si="24"/>
        <v>1</v>
      </c>
      <c r="D96" s="666"/>
      <c r="E96" s="21">
        <f t="shared" si="25"/>
        <v>0.03</v>
      </c>
      <c r="F96" s="666"/>
      <c r="G96" s="21">
        <f t="shared" si="26"/>
        <v>0</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664"/>
      <c r="B97" s="54"/>
      <c r="C97" s="21">
        <f t="shared" si="24"/>
        <v>1</v>
      </c>
      <c r="D97" s="666"/>
      <c r="E97" s="21">
        <f t="shared" si="25"/>
        <v>0.03</v>
      </c>
      <c r="F97" s="666"/>
      <c r="G97" s="21">
        <f t="shared" si="26"/>
        <v>0</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664"/>
      <c r="B98" s="54"/>
      <c r="C98" s="21">
        <f t="shared" si="24"/>
        <v>1</v>
      </c>
      <c r="D98" s="666"/>
      <c r="E98" s="21">
        <f t="shared" si="25"/>
        <v>0.03</v>
      </c>
      <c r="F98" s="666"/>
      <c r="G98" s="21">
        <f t="shared" si="26"/>
        <v>0</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664"/>
      <c r="B99" s="54"/>
      <c r="C99" s="21">
        <f t="shared" si="24"/>
        <v>1</v>
      </c>
      <c r="D99" s="666"/>
      <c r="E99" s="21">
        <f t="shared" si="25"/>
        <v>0.03</v>
      </c>
      <c r="F99" s="666"/>
      <c r="G99" s="21">
        <f t="shared" si="26"/>
        <v>0</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664"/>
      <c r="B100" s="54"/>
      <c r="C100" s="21">
        <f t="shared" si="24"/>
        <v>1</v>
      </c>
      <c r="D100" s="666"/>
      <c r="E100" s="21">
        <f t="shared" si="25"/>
        <v>0.03</v>
      </c>
      <c r="F100" s="666"/>
      <c r="G100" s="21">
        <f t="shared" si="26"/>
        <v>0</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664"/>
      <c r="B101" s="54"/>
      <c r="C101" s="21">
        <f t="shared" si="24"/>
        <v>1</v>
      </c>
      <c r="D101" s="666"/>
      <c r="E101" s="21">
        <f t="shared" si="25"/>
        <v>0.03</v>
      </c>
      <c r="F101" s="666"/>
      <c r="G101" s="21">
        <f t="shared" si="26"/>
        <v>0</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664"/>
      <c r="B102" s="54"/>
      <c r="C102" s="21">
        <f t="shared" si="24"/>
        <v>1</v>
      </c>
      <c r="D102" s="666"/>
      <c r="E102" s="21">
        <f t="shared" si="25"/>
        <v>0.03</v>
      </c>
      <c r="F102" s="666"/>
      <c r="G102" s="21">
        <f t="shared" si="26"/>
        <v>0</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664"/>
      <c r="B103" s="54"/>
      <c r="C103" s="21">
        <f t="shared" si="24"/>
        <v>1</v>
      </c>
      <c r="D103" s="666"/>
      <c r="E103" s="21">
        <f t="shared" si="25"/>
        <v>0.03</v>
      </c>
      <c r="F103" s="666"/>
      <c r="G103" s="21">
        <f t="shared" si="26"/>
        <v>0</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664"/>
      <c r="B104" s="54"/>
      <c r="C104" s="21">
        <f t="shared" si="24"/>
        <v>1</v>
      </c>
      <c r="D104" s="666"/>
      <c r="E104" s="21">
        <f t="shared" si="25"/>
        <v>0.03</v>
      </c>
      <c r="F104" s="666"/>
      <c r="G104" s="21">
        <f t="shared" si="26"/>
        <v>0</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664"/>
      <c r="B105" s="54"/>
      <c r="C105" s="21">
        <f t="shared" si="24"/>
        <v>1</v>
      </c>
      <c r="D105" s="666"/>
      <c r="E105" s="21">
        <f t="shared" si="25"/>
        <v>0.03</v>
      </c>
      <c r="F105" s="666"/>
      <c r="G105" s="21">
        <f t="shared" si="26"/>
        <v>0</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664"/>
      <c r="B106" s="54"/>
      <c r="C106" s="21">
        <f t="shared" si="24"/>
        <v>1</v>
      </c>
      <c r="D106" s="666"/>
      <c r="E106" s="21">
        <f t="shared" si="25"/>
        <v>0.03</v>
      </c>
      <c r="F106" s="666"/>
      <c r="G106" s="21">
        <f t="shared" si="26"/>
        <v>0</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664"/>
      <c r="B107" s="54"/>
      <c r="C107" s="21">
        <f t="shared" si="24"/>
        <v>1</v>
      </c>
      <c r="D107" s="666"/>
      <c r="E107" s="21">
        <f t="shared" si="25"/>
        <v>0.03</v>
      </c>
      <c r="F107" s="666"/>
      <c r="G107" s="21">
        <f t="shared" si="26"/>
        <v>0</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664"/>
      <c r="B108" s="54"/>
      <c r="C108" s="21">
        <f t="shared" si="24"/>
        <v>1</v>
      </c>
      <c r="D108" s="666"/>
      <c r="E108" s="21">
        <f t="shared" si="25"/>
        <v>0.03</v>
      </c>
      <c r="F108" s="666"/>
      <c r="G108" s="21">
        <f t="shared" si="26"/>
        <v>0</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664"/>
      <c r="B109" s="54"/>
      <c r="C109" s="21">
        <f t="shared" si="24"/>
        <v>1</v>
      </c>
      <c r="D109" s="666"/>
      <c r="E109" s="21">
        <f t="shared" si="25"/>
        <v>0.03</v>
      </c>
      <c r="F109" s="666"/>
      <c r="G109" s="21">
        <f t="shared" si="26"/>
        <v>0</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664"/>
      <c r="B110" s="54"/>
      <c r="C110" s="21">
        <f t="shared" si="24"/>
        <v>1</v>
      </c>
      <c r="D110" s="666"/>
      <c r="E110" s="21">
        <f t="shared" si="25"/>
        <v>0.03</v>
      </c>
      <c r="F110" s="666"/>
      <c r="G110" s="21">
        <f t="shared" si="26"/>
        <v>0</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664"/>
      <c r="B111" s="54"/>
      <c r="C111" s="21">
        <f t="shared" si="24"/>
        <v>1</v>
      </c>
      <c r="D111" s="666"/>
      <c r="E111" s="21">
        <f t="shared" si="25"/>
        <v>0.03</v>
      </c>
      <c r="F111" s="666"/>
      <c r="G111" s="21">
        <f t="shared" si="26"/>
        <v>0</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664"/>
      <c r="B112" s="54"/>
      <c r="C112" s="21">
        <f t="shared" si="24"/>
        <v>1</v>
      </c>
      <c r="D112" s="666"/>
      <c r="E112" s="21">
        <f t="shared" si="25"/>
        <v>0.03</v>
      </c>
      <c r="F112" s="666"/>
      <c r="G112" s="21">
        <f t="shared" si="26"/>
        <v>0</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664"/>
      <c r="B113" s="54"/>
      <c r="C113" s="21">
        <f t="shared" si="24"/>
        <v>1</v>
      </c>
      <c r="D113" s="666"/>
      <c r="E113" s="21">
        <f t="shared" si="25"/>
        <v>0.03</v>
      </c>
      <c r="F113" s="666"/>
      <c r="G113" s="21">
        <f t="shared" si="26"/>
        <v>0</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664"/>
      <c r="B114" s="54"/>
      <c r="C114" s="21">
        <f t="shared" si="24"/>
        <v>1</v>
      </c>
      <c r="D114" s="666"/>
      <c r="E114" s="21">
        <f t="shared" si="25"/>
        <v>0.03</v>
      </c>
      <c r="F114" s="666"/>
      <c r="G114" s="21">
        <f t="shared" si="26"/>
        <v>0</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664"/>
      <c r="B115" s="54"/>
      <c r="C115" s="21">
        <f t="shared" si="24"/>
        <v>1</v>
      </c>
      <c r="D115" s="666"/>
      <c r="E115" s="21">
        <f t="shared" si="25"/>
        <v>0.03</v>
      </c>
      <c r="F115" s="666"/>
      <c r="G115" s="21">
        <f t="shared" si="26"/>
        <v>0</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664"/>
      <c r="B116" s="54"/>
      <c r="C116" s="21">
        <f t="shared" si="24"/>
        <v>1</v>
      </c>
      <c r="D116" s="666"/>
      <c r="E116" s="21">
        <f t="shared" si="25"/>
        <v>0.03</v>
      </c>
      <c r="F116" s="666"/>
      <c r="G116" s="21">
        <f t="shared" si="26"/>
        <v>0</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664"/>
      <c r="B117" s="54"/>
      <c r="C117" s="21">
        <f t="shared" si="24"/>
        <v>1</v>
      </c>
      <c r="D117" s="666"/>
      <c r="E117" s="21">
        <f t="shared" si="25"/>
        <v>0.03</v>
      </c>
      <c r="F117" s="666"/>
      <c r="G117" s="21">
        <f t="shared" si="26"/>
        <v>0</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664"/>
      <c r="B118" s="54"/>
      <c r="C118" s="21">
        <f t="shared" si="24"/>
        <v>1</v>
      </c>
      <c r="D118" s="666"/>
      <c r="E118" s="21">
        <f t="shared" si="25"/>
        <v>0.03</v>
      </c>
      <c r="F118" s="666"/>
      <c r="G118" s="21">
        <f t="shared" si="26"/>
        <v>0</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664"/>
      <c r="B119" s="54"/>
      <c r="C119" s="21">
        <f t="shared" si="24"/>
        <v>1</v>
      </c>
      <c r="D119" s="666"/>
      <c r="E119" s="21">
        <f t="shared" si="25"/>
        <v>0.03</v>
      </c>
      <c r="F119" s="666"/>
      <c r="G119" s="21">
        <f t="shared" si="26"/>
        <v>0</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664"/>
      <c r="B120" s="54"/>
      <c r="C120" s="21">
        <f t="shared" si="24"/>
        <v>1</v>
      </c>
      <c r="D120" s="666"/>
      <c r="E120" s="21">
        <f t="shared" si="25"/>
        <v>0.03</v>
      </c>
      <c r="F120" s="666"/>
      <c r="G120" s="21">
        <f t="shared" si="26"/>
        <v>0</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664"/>
      <c r="B121" s="54"/>
      <c r="C121" s="21">
        <f t="shared" si="24"/>
        <v>1</v>
      </c>
      <c r="D121" s="666"/>
      <c r="E121" s="21">
        <f t="shared" si="25"/>
        <v>0.03</v>
      </c>
      <c r="F121" s="666"/>
      <c r="G121" s="21">
        <f t="shared" si="26"/>
        <v>0</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664"/>
      <c r="B122" s="54"/>
      <c r="C122" s="21">
        <f t="shared" si="24"/>
        <v>1</v>
      </c>
      <c r="D122" s="666"/>
      <c r="E122" s="21">
        <f t="shared" si="25"/>
        <v>0.03</v>
      </c>
      <c r="F122" s="666"/>
      <c r="G122" s="21">
        <f t="shared" si="26"/>
        <v>0</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664"/>
      <c r="B123" s="54"/>
      <c r="C123" s="21">
        <f t="shared" si="24"/>
        <v>1</v>
      </c>
      <c r="D123" s="666"/>
      <c r="E123" s="21">
        <f t="shared" si="25"/>
        <v>0.03</v>
      </c>
      <c r="F123" s="666"/>
      <c r="G123" s="21">
        <f t="shared" si="26"/>
        <v>0</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664"/>
      <c r="B124" s="54"/>
      <c r="C124" s="21">
        <f t="shared" si="24"/>
        <v>1</v>
      </c>
      <c r="D124" s="666"/>
      <c r="E124" s="21">
        <f t="shared" si="25"/>
        <v>0.03</v>
      </c>
      <c r="F124" s="666"/>
      <c r="G124" s="21">
        <f t="shared" si="26"/>
        <v>0</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664"/>
      <c r="B125" s="54"/>
      <c r="C125" s="21">
        <f t="shared" si="24"/>
        <v>1</v>
      </c>
      <c r="D125" s="666"/>
      <c r="E125" s="21">
        <f t="shared" si="25"/>
        <v>0.03</v>
      </c>
      <c r="F125" s="666"/>
      <c r="G125" s="21">
        <f t="shared" si="26"/>
        <v>0</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664"/>
      <c r="B126" s="54"/>
      <c r="C126" s="21">
        <f t="shared" si="24"/>
        <v>1</v>
      </c>
      <c r="D126" s="666"/>
      <c r="E126" s="21">
        <f t="shared" si="25"/>
        <v>0.03</v>
      </c>
      <c r="F126" s="666"/>
      <c r="G126" s="21">
        <f t="shared" si="26"/>
        <v>0</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664"/>
      <c r="B127" s="54"/>
      <c r="C127" s="21">
        <f t="shared" si="24"/>
        <v>1</v>
      </c>
      <c r="D127" s="666"/>
      <c r="E127" s="21">
        <f t="shared" si="25"/>
        <v>0.03</v>
      </c>
      <c r="F127" s="666"/>
      <c r="G127" s="21">
        <f t="shared" si="26"/>
        <v>0</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664"/>
      <c r="B128" s="54"/>
      <c r="C128" s="21">
        <f t="shared" si="24"/>
        <v>1</v>
      </c>
      <c r="D128" s="666"/>
      <c r="E128" s="21">
        <f t="shared" si="25"/>
        <v>0.03</v>
      </c>
      <c r="F128" s="666"/>
      <c r="G128" s="21">
        <f t="shared" si="26"/>
        <v>0</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664"/>
      <c r="B129" s="54"/>
      <c r="C129" s="21">
        <f t="shared" si="24"/>
        <v>1</v>
      </c>
      <c r="D129" s="666"/>
      <c r="E129" s="21">
        <f t="shared" si="25"/>
        <v>0.03</v>
      </c>
      <c r="F129" s="666"/>
      <c r="G129" s="21">
        <f t="shared" si="26"/>
        <v>0</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664"/>
      <c r="B130" s="54"/>
      <c r="C130" s="21">
        <f t="shared" si="24"/>
        <v>1</v>
      </c>
      <c r="D130" s="666"/>
      <c r="E130" s="21">
        <f t="shared" si="25"/>
        <v>0.03</v>
      </c>
      <c r="F130" s="666"/>
      <c r="G130" s="21">
        <f t="shared" si="26"/>
        <v>0</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664"/>
      <c r="B131" s="54"/>
      <c r="C131" s="21">
        <f t="shared" si="24"/>
        <v>1</v>
      </c>
      <c r="D131" s="666"/>
      <c r="E131" s="21">
        <f t="shared" si="25"/>
        <v>0.03</v>
      </c>
      <c r="F131" s="666"/>
      <c r="G131" s="21">
        <f t="shared" si="26"/>
        <v>0</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664"/>
      <c r="B132" s="54"/>
      <c r="C132" s="21">
        <f t="shared" si="24"/>
        <v>1</v>
      </c>
      <c r="D132" s="666"/>
      <c r="E132" s="21">
        <f t="shared" si="25"/>
        <v>0.03</v>
      </c>
      <c r="F132" s="666"/>
      <c r="G132" s="21">
        <f t="shared" si="26"/>
        <v>0</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664"/>
      <c r="B133" s="54"/>
      <c r="C133" s="21">
        <f t="shared" si="24"/>
        <v>1</v>
      </c>
      <c r="D133" s="666"/>
      <c r="E133" s="21">
        <f t="shared" si="25"/>
        <v>0.03</v>
      </c>
      <c r="F133" s="666"/>
      <c r="G133" s="21">
        <f t="shared" si="26"/>
        <v>0</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664"/>
      <c r="B134" s="54"/>
      <c r="C134" s="21">
        <f t="shared" si="24"/>
        <v>1</v>
      </c>
      <c r="D134" s="666"/>
      <c r="E134" s="21">
        <f t="shared" si="25"/>
        <v>0.03</v>
      </c>
      <c r="F134" s="666"/>
      <c r="G134" s="21">
        <f t="shared" si="26"/>
        <v>0</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664"/>
      <c r="B135" s="54"/>
      <c r="C135" s="21">
        <f t="shared" si="24"/>
        <v>1</v>
      </c>
      <c r="D135" s="666"/>
      <c r="E135" s="21">
        <f t="shared" si="25"/>
        <v>0.03</v>
      </c>
      <c r="F135" s="666"/>
      <c r="G135" s="21">
        <f t="shared" si="26"/>
        <v>0</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664"/>
      <c r="B136" s="54"/>
      <c r="C136" s="21">
        <f t="shared" si="24"/>
        <v>1</v>
      </c>
      <c r="D136" s="666"/>
      <c r="E136" s="21">
        <f t="shared" si="25"/>
        <v>0.03</v>
      </c>
      <c r="F136" s="666"/>
      <c r="G136" s="21">
        <f t="shared" si="26"/>
        <v>0</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664"/>
      <c r="B137" s="54"/>
      <c r="C137" s="21">
        <f t="shared" si="24"/>
        <v>1</v>
      </c>
      <c r="D137" s="666"/>
      <c r="E137" s="21">
        <f t="shared" si="25"/>
        <v>0.03</v>
      </c>
      <c r="F137" s="666"/>
      <c r="G137" s="21">
        <f t="shared" si="26"/>
        <v>0</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664"/>
      <c r="B138" s="54"/>
      <c r="C138" s="21">
        <f t="shared" si="24"/>
        <v>1</v>
      </c>
      <c r="D138" s="666"/>
      <c r="E138" s="21">
        <f t="shared" si="25"/>
        <v>0.03</v>
      </c>
      <c r="F138" s="666"/>
      <c r="G138" s="21">
        <f t="shared" si="26"/>
        <v>0</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664"/>
      <c r="B139" s="54"/>
      <c r="C139" s="21">
        <f t="shared" si="24"/>
        <v>1</v>
      </c>
      <c r="D139" s="666"/>
      <c r="E139" s="21">
        <f t="shared" si="25"/>
        <v>0.03</v>
      </c>
      <c r="F139" s="666"/>
      <c r="G139" s="21">
        <f t="shared" si="26"/>
        <v>0</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664"/>
      <c r="B140" s="54"/>
      <c r="C140" s="21">
        <f t="shared" si="24"/>
        <v>1</v>
      </c>
      <c r="D140" s="666"/>
      <c r="E140" s="21">
        <f t="shared" si="25"/>
        <v>0.03</v>
      </c>
      <c r="F140" s="666"/>
      <c r="G140" s="21">
        <f t="shared" si="26"/>
        <v>0</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664"/>
      <c r="B141" s="54"/>
      <c r="C141" s="21">
        <f t="shared" si="24"/>
        <v>1</v>
      </c>
      <c r="D141" s="666"/>
      <c r="E141" s="21">
        <f t="shared" si="25"/>
        <v>0.03</v>
      </c>
      <c r="F141" s="666"/>
      <c r="G141" s="21">
        <f t="shared" si="26"/>
        <v>0</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664"/>
      <c r="B142" s="54"/>
      <c r="C142" s="21">
        <f t="shared" si="24"/>
        <v>1</v>
      </c>
      <c r="D142" s="666"/>
      <c r="E142" s="21">
        <f t="shared" si="25"/>
        <v>0.03</v>
      </c>
      <c r="F142" s="666"/>
      <c r="G142" s="21">
        <f t="shared" si="26"/>
        <v>0</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664"/>
      <c r="B143" s="54"/>
      <c r="C143" s="21">
        <f t="shared" si="24"/>
        <v>1</v>
      </c>
      <c r="D143" s="666"/>
      <c r="E143" s="21">
        <f t="shared" si="25"/>
        <v>0.03</v>
      </c>
      <c r="F143" s="666"/>
      <c r="G143" s="21">
        <f t="shared" si="26"/>
        <v>0</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664"/>
      <c r="B144" s="54"/>
      <c r="C144" s="21">
        <f t="shared" si="24"/>
        <v>1</v>
      </c>
      <c r="D144" s="666"/>
      <c r="E144" s="21">
        <f t="shared" si="25"/>
        <v>0.03</v>
      </c>
      <c r="F144" s="666"/>
      <c r="G144" s="21">
        <f t="shared" si="26"/>
        <v>0</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664"/>
      <c r="B145" s="54"/>
      <c r="C145" s="21">
        <f t="shared" si="24"/>
        <v>1</v>
      </c>
      <c r="D145" s="666"/>
      <c r="E145" s="21">
        <f t="shared" si="25"/>
        <v>0.03</v>
      </c>
      <c r="F145" s="666"/>
      <c r="G145" s="21">
        <f t="shared" si="26"/>
        <v>0</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664"/>
      <c r="B146" s="54"/>
      <c r="C146" s="21">
        <f t="shared" si="24"/>
        <v>1</v>
      </c>
      <c r="D146" s="666"/>
      <c r="E146" s="21">
        <f t="shared" si="25"/>
        <v>0.03</v>
      </c>
      <c r="F146" s="666"/>
      <c r="G146" s="21">
        <f t="shared" si="26"/>
        <v>0</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664"/>
      <c r="B147" s="54"/>
      <c r="C147" s="21">
        <f t="shared" si="24"/>
        <v>1</v>
      </c>
      <c r="D147" s="666"/>
      <c r="E147" s="21">
        <f t="shared" si="25"/>
        <v>0.03</v>
      </c>
      <c r="F147" s="666"/>
      <c r="G147" s="21">
        <f t="shared" si="26"/>
        <v>0</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664"/>
      <c r="B148" s="54"/>
      <c r="C148" s="21">
        <f t="shared" si="24"/>
        <v>1</v>
      </c>
      <c r="D148" s="666"/>
      <c r="E148" s="21">
        <f t="shared" si="25"/>
        <v>0.03</v>
      </c>
      <c r="F148" s="666"/>
      <c r="G148" s="21">
        <f t="shared" si="26"/>
        <v>0</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664"/>
      <c r="B149" s="54"/>
      <c r="C149" s="21">
        <f t="shared" si="24"/>
        <v>1</v>
      </c>
      <c r="D149" s="666"/>
      <c r="E149" s="21">
        <f t="shared" si="25"/>
        <v>0.03</v>
      </c>
      <c r="F149" s="666"/>
      <c r="G149" s="21">
        <f t="shared" si="26"/>
        <v>0</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664"/>
      <c r="B150" s="54"/>
      <c r="C150" s="21">
        <f t="shared" si="24"/>
        <v>1</v>
      </c>
      <c r="D150" s="666"/>
      <c r="E150" s="21">
        <f t="shared" si="25"/>
        <v>0.03</v>
      </c>
      <c r="F150" s="666"/>
      <c r="G150" s="21">
        <f t="shared" si="26"/>
        <v>0</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664"/>
      <c r="B151" s="54"/>
      <c r="C151" s="21">
        <f t="shared" si="24"/>
        <v>1</v>
      </c>
      <c r="D151" s="666"/>
      <c r="E151" s="21">
        <f t="shared" si="25"/>
        <v>0.03</v>
      </c>
      <c r="F151" s="666"/>
      <c r="G151" s="21">
        <f t="shared" si="26"/>
        <v>0</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664"/>
      <c r="B152" s="54"/>
      <c r="C152" s="21">
        <f t="shared" si="24"/>
        <v>1</v>
      </c>
      <c r="D152" s="666"/>
      <c r="E152" s="21">
        <f t="shared" si="25"/>
        <v>0.03</v>
      </c>
      <c r="F152" s="666"/>
      <c r="G152" s="21">
        <f t="shared" si="26"/>
        <v>0</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664"/>
      <c r="B153" s="54"/>
      <c r="C153" s="21">
        <f t="shared" si="24"/>
        <v>1</v>
      </c>
      <c r="D153" s="666"/>
      <c r="E153" s="21">
        <f t="shared" si="25"/>
        <v>0.03</v>
      </c>
      <c r="F153" s="666"/>
      <c r="G153" s="21">
        <f t="shared" si="26"/>
        <v>0</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664"/>
      <c r="B154" s="54"/>
      <c r="C154" s="21">
        <f t="shared" ref="C154:C217" si="34">IF(B154="",1,(LOOKUP(B154,$3:$3,$4:$4)-LOOKUP($B$24,$3:$3,$4:$4)+100)/100)</f>
        <v>1</v>
      </c>
      <c r="D154" s="666"/>
      <c r="E154" s="21">
        <f t="shared" ref="E154:E217" si="35">(SUMIF($5:$5,D154,$6:$6)-SUMIF($5:$5,$D$24,$6:$6)+100)/100</f>
        <v>0.03</v>
      </c>
      <c r="F154" s="666"/>
      <c r="G154" s="21">
        <f t="shared" ref="G154:G217" si="36">(SUMIF($7:$7,F154,$8:$8)-SUMIF($7:$7,$F$24,$8:$8)+100)/100</f>
        <v>0</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664"/>
      <c r="B155" s="54"/>
      <c r="C155" s="21">
        <f t="shared" si="34"/>
        <v>1</v>
      </c>
      <c r="D155" s="666"/>
      <c r="E155" s="21">
        <f t="shared" si="35"/>
        <v>0.03</v>
      </c>
      <c r="F155" s="666"/>
      <c r="G155" s="21">
        <f t="shared" si="36"/>
        <v>0</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664"/>
      <c r="B156" s="54"/>
      <c r="C156" s="21">
        <f t="shared" si="34"/>
        <v>1</v>
      </c>
      <c r="D156" s="666"/>
      <c r="E156" s="21">
        <f t="shared" si="35"/>
        <v>0.03</v>
      </c>
      <c r="F156" s="666"/>
      <c r="G156" s="21">
        <f t="shared" si="36"/>
        <v>0</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664"/>
      <c r="B157" s="54"/>
      <c r="C157" s="21">
        <f t="shared" si="34"/>
        <v>1</v>
      </c>
      <c r="D157" s="666"/>
      <c r="E157" s="21">
        <f t="shared" si="35"/>
        <v>0.03</v>
      </c>
      <c r="F157" s="666"/>
      <c r="G157" s="21">
        <f t="shared" si="36"/>
        <v>0</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664"/>
      <c r="B158" s="54"/>
      <c r="C158" s="21">
        <f t="shared" si="34"/>
        <v>1</v>
      </c>
      <c r="D158" s="666"/>
      <c r="E158" s="21">
        <f t="shared" si="35"/>
        <v>0.03</v>
      </c>
      <c r="F158" s="666"/>
      <c r="G158" s="21">
        <f t="shared" si="36"/>
        <v>0</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664"/>
      <c r="B159" s="54"/>
      <c r="C159" s="21">
        <f t="shared" si="34"/>
        <v>1</v>
      </c>
      <c r="D159" s="666"/>
      <c r="E159" s="21">
        <f t="shared" si="35"/>
        <v>0.03</v>
      </c>
      <c r="F159" s="666"/>
      <c r="G159" s="21">
        <f t="shared" si="36"/>
        <v>0</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664"/>
      <c r="B160" s="54"/>
      <c r="C160" s="21">
        <f t="shared" si="34"/>
        <v>1</v>
      </c>
      <c r="D160" s="666"/>
      <c r="E160" s="21">
        <f t="shared" si="35"/>
        <v>0.03</v>
      </c>
      <c r="F160" s="666"/>
      <c r="G160" s="21">
        <f t="shared" si="36"/>
        <v>0</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664"/>
      <c r="B161" s="54"/>
      <c r="C161" s="21">
        <f t="shared" si="34"/>
        <v>1</v>
      </c>
      <c r="D161" s="666"/>
      <c r="E161" s="21">
        <f t="shared" si="35"/>
        <v>0.03</v>
      </c>
      <c r="F161" s="666"/>
      <c r="G161" s="21">
        <f t="shared" si="36"/>
        <v>0</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664"/>
      <c r="B162" s="54"/>
      <c r="C162" s="21">
        <f t="shared" si="34"/>
        <v>1</v>
      </c>
      <c r="D162" s="666"/>
      <c r="E162" s="21">
        <f t="shared" si="35"/>
        <v>0.03</v>
      </c>
      <c r="F162" s="666"/>
      <c r="G162" s="21">
        <f t="shared" si="36"/>
        <v>0</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664"/>
      <c r="B163" s="54"/>
      <c r="C163" s="21">
        <f t="shared" si="34"/>
        <v>1</v>
      </c>
      <c r="D163" s="666"/>
      <c r="E163" s="21">
        <f t="shared" si="35"/>
        <v>0.03</v>
      </c>
      <c r="F163" s="666"/>
      <c r="G163" s="21">
        <f t="shared" si="36"/>
        <v>0</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664"/>
      <c r="B164" s="54"/>
      <c r="C164" s="21">
        <f t="shared" si="34"/>
        <v>1</v>
      </c>
      <c r="D164" s="666"/>
      <c r="E164" s="21">
        <f t="shared" si="35"/>
        <v>0.03</v>
      </c>
      <c r="F164" s="666"/>
      <c r="G164" s="21">
        <f t="shared" si="36"/>
        <v>0</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664"/>
      <c r="B165" s="54"/>
      <c r="C165" s="21">
        <f t="shared" si="34"/>
        <v>1</v>
      </c>
      <c r="D165" s="666"/>
      <c r="E165" s="21">
        <f t="shared" si="35"/>
        <v>0.03</v>
      </c>
      <c r="F165" s="666"/>
      <c r="G165" s="21">
        <f t="shared" si="36"/>
        <v>0</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664"/>
      <c r="B166" s="54"/>
      <c r="C166" s="21">
        <f t="shared" si="34"/>
        <v>1</v>
      </c>
      <c r="D166" s="666"/>
      <c r="E166" s="21">
        <f t="shared" si="35"/>
        <v>0.03</v>
      </c>
      <c r="F166" s="666"/>
      <c r="G166" s="21">
        <f t="shared" si="36"/>
        <v>0</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664"/>
      <c r="B167" s="54"/>
      <c r="C167" s="21">
        <f t="shared" si="34"/>
        <v>1</v>
      </c>
      <c r="D167" s="666"/>
      <c r="E167" s="21">
        <f t="shared" si="35"/>
        <v>0.03</v>
      </c>
      <c r="F167" s="666"/>
      <c r="G167" s="21">
        <f t="shared" si="36"/>
        <v>0</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664"/>
      <c r="B168" s="54"/>
      <c r="C168" s="21">
        <f t="shared" si="34"/>
        <v>1</v>
      </c>
      <c r="D168" s="666"/>
      <c r="E168" s="21">
        <f t="shared" si="35"/>
        <v>0.03</v>
      </c>
      <c r="F168" s="666"/>
      <c r="G168" s="21">
        <f t="shared" si="36"/>
        <v>0</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664"/>
      <c r="B169" s="54"/>
      <c r="C169" s="21">
        <f t="shared" si="34"/>
        <v>1</v>
      </c>
      <c r="D169" s="666"/>
      <c r="E169" s="21">
        <f t="shared" si="35"/>
        <v>0.03</v>
      </c>
      <c r="F169" s="666"/>
      <c r="G169" s="21">
        <f t="shared" si="36"/>
        <v>0</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664"/>
      <c r="B170" s="54"/>
      <c r="C170" s="21">
        <f t="shared" si="34"/>
        <v>1</v>
      </c>
      <c r="D170" s="666"/>
      <c r="E170" s="21">
        <f t="shared" si="35"/>
        <v>0.03</v>
      </c>
      <c r="F170" s="666"/>
      <c r="G170" s="21">
        <f t="shared" si="36"/>
        <v>0</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664"/>
      <c r="B171" s="54"/>
      <c r="C171" s="21">
        <f t="shared" si="34"/>
        <v>1</v>
      </c>
      <c r="D171" s="666"/>
      <c r="E171" s="21">
        <f t="shared" si="35"/>
        <v>0.03</v>
      </c>
      <c r="F171" s="666"/>
      <c r="G171" s="21">
        <f t="shared" si="36"/>
        <v>0</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664"/>
      <c r="B172" s="54"/>
      <c r="C172" s="21">
        <f t="shared" si="34"/>
        <v>1</v>
      </c>
      <c r="D172" s="666"/>
      <c r="E172" s="21">
        <f t="shared" si="35"/>
        <v>0.03</v>
      </c>
      <c r="F172" s="666"/>
      <c r="G172" s="21">
        <f t="shared" si="36"/>
        <v>0</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664"/>
      <c r="B173" s="54"/>
      <c r="C173" s="21">
        <f t="shared" si="34"/>
        <v>1</v>
      </c>
      <c r="D173" s="666"/>
      <c r="E173" s="21">
        <f t="shared" si="35"/>
        <v>0.03</v>
      </c>
      <c r="F173" s="666"/>
      <c r="G173" s="21">
        <f t="shared" si="36"/>
        <v>0</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664"/>
      <c r="B174" s="54"/>
      <c r="C174" s="21">
        <f t="shared" si="34"/>
        <v>1</v>
      </c>
      <c r="D174" s="666"/>
      <c r="E174" s="21">
        <f t="shared" si="35"/>
        <v>0.03</v>
      </c>
      <c r="F174" s="666"/>
      <c r="G174" s="21">
        <f t="shared" si="36"/>
        <v>0</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664"/>
      <c r="B175" s="54"/>
      <c r="C175" s="21">
        <f t="shared" si="34"/>
        <v>1</v>
      </c>
      <c r="D175" s="666"/>
      <c r="E175" s="21">
        <f t="shared" si="35"/>
        <v>0.03</v>
      </c>
      <c r="F175" s="666"/>
      <c r="G175" s="21">
        <f t="shared" si="36"/>
        <v>0</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664"/>
      <c r="B176" s="54"/>
      <c r="C176" s="21">
        <f t="shared" si="34"/>
        <v>1</v>
      </c>
      <c r="D176" s="666"/>
      <c r="E176" s="21">
        <f t="shared" si="35"/>
        <v>0.03</v>
      </c>
      <c r="F176" s="666"/>
      <c r="G176" s="21">
        <f t="shared" si="36"/>
        <v>0</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664"/>
      <c r="B177" s="54"/>
      <c r="C177" s="21">
        <f t="shared" si="34"/>
        <v>1</v>
      </c>
      <c r="D177" s="666"/>
      <c r="E177" s="21">
        <f t="shared" si="35"/>
        <v>0.03</v>
      </c>
      <c r="F177" s="666"/>
      <c r="G177" s="21">
        <f t="shared" si="36"/>
        <v>0</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664"/>
      <c r="B178" s="54"/>
      <c r="C178" s="21">
        <f t="shared" si="34"/>
        <v>1</v>
      </c>
      <c r="D178" s="666"/>
      <c r="E178" s="21">
        <f t="shared" si="35"/>
        <v>0.03</v>
      </c>
      <c r="F178" s="666"/>
      <c r="G178" s="21">
        <f t="shared" si="36"/>
        <v>0</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664"/>
      <c r="B179" s="54"/>
      <c r="C179" s="21">
        <f t="shared" si="34"/>
        <v>1</v>
      </c>
      <c r="D179" s="666"/>
      <c r="E179" s="21">
        <f t="shared" si="35"/>
        <v>0.03</v>
      </c>
      <c r="F179" s="666"/>
      <c r="G179" s="21">
        <f t="shared" si="36"/>
        <v>0</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664"/>
      <c r="B180" s="54"/>
      <c r="C180" s="21">
        <f t="shared" si="34"/>
        <v>1</v>
      </c>
      <c r="D180" s="666"/>
      <c r="E180" s="21">
        <f t="shared" si="35"/>
        <v>0.03</v>
      </c>
      <c r="F180" s="666"/>
      <c r="G180" s="21">
        <f t="shared" si="36"/>
        <v>0</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664"/>
      <c r="B181" s="54"/>
      <c r="C181" s="21">
        <f t="shared" si="34"/>
        <v>1</v>
      </c>
      <c r="D181" s="666"/>
      <c r="E181" s="21">
        <f t="shared" si="35"/>
        <v>0.03</v>
      </c>
      <c r="F181" s="666"/>
      <c r="G181" s="21">
        <f t="shared" si="36"/>
        <v>0</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664"/>
      <c r="B182" s="54"/>
      <c r="C182" s="21">
        <f t="shared" si="34"/>
        <v>1</v>
      </c>
      <c r="D182" s="666"/>
      <c r="E182" s="21">
        <f t="shared" si="35"/>
        <v>0.03</v>
      </c>
      <c r="F182" s="666"/>
      <c r="G182" s="21">
        <f t="shared" si="36"/>
        <v>0</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664"/>
      <c r="B183" s="54"/>
      <c r="C183" s="21">
        <f t="shared" si="34"/>
        <v>1</v>
      </c>
      <c r="D183" s="666"/>
      <c r="E183" s="21">
        <f t="shared" si="35"/>
        <v>0.03</v>
      </c>
      <c r="F183" s="666"/>
      <c r="G183" s="21">
        <f t="shared" si="36"/>
        <v>0</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664"/>
      <c r="B184" s="54"/>
      <c r="C184" s="21">
        <f t="shared" si="34"/>
        <v>1</v>
      </c>
      <c r="D184" s="666"/>
      <c r="E184" s="21">
        <f t="shared" si="35"/>
        <v>0.03</v>
      </c>
      <c r="F184" s="666"/>
      <c r="G184" s="21">
        <f t="shared" si="36"/>
        <v>0</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664"/>
      <c r="B185" s="54"/>
      <c r="C185" s="21">
        <f t="shared" si="34"/>
        <v>1</v>
      </c>
      <c r="D185" s="666"/>
      <c r="E185" s="21">
        <f t="shared" si="35"/>
        <v>0.03</v>
      </c>
      <c r="F185" s="666"/>
      <c r="G185" s="21">
        <f t="shared" si="36"/>
        <v>0</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664"/>
      <c r="B186" s="54"/>
      <c r="C186" s="21">
        <f t="shared" si="34"/>
        <v>1</v>
      </c>
      <c r="D186" s="666"/>
      <c r="E186" s="21">
        <f t="shared" si="35"/>
        <v>0.03</v>
      </c>
      <c r="F186" s="666"/>
      <c r="G186" s="21">
        <f t="shared" si="36"/>
        <v>0</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664"/>
      <c r="B187" s="54"/>
      <c r="C187" s="21">
        <f t="shared" si="34"/>
        <v>1</v>
      </c>
      <c r="D187" s="666"/>
      <c r="E187" s="21">
        <f t="shared" si="35"/>
        <v>0.03</v>
      </c>
      <c r="F187" s="666"/>
      <c r="G187" s="21">
        <f t="shared" si="36"/>
        <v>0</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664"/>
      <c r="B188" s="54"/>
      <c r="C188" s="21">
        <f t="shared" si="34"/>
        <v>1</v>
      </c>
      <c r="D188" s="666"/>
      <c r="E188" s="21">
        <f t="shared" si="35"/>
        <v>0.03</v>
      </c>
      <c r="F188" s="666"/>
      <c r="G188" s="21">
        <f t="shared" si="36"/>
        <v>0</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664"/>
      <c r="B189" s="54"/>
      <c r="C189" s="21">
        <f t="shared" si="34"/>
        <v>1</v>
      </c>
      <c r="D189" s="666"/>
      <c r="E189" s="21">
        <f t="shared" si="35"/>
        <v>0.03</v>
      </c>
      <c r="F189" s="666"/>
      <c r="G189" s="21">
        <f t="shared" si="36"/>
        <v>0</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664"/>
      <c r="B190" s="54"/>
      <c r="C190" s="21">
        <f t="shared" si="34"/>
        <v>1</v>
      </c>
      <c r="D190" s="666"/>
      <c r="E190" s="21">
        <f t="shared" si="35"/>
        <v>0.03</v>
      </c>
      <c r="F190" s="666"/>
      <c r="G190" s="21">
        <f t="shared" si="36"/>
        <v>0</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664"/>
      <c r="B191" s="54"/>
      <c r="C191" s="21">
        <f t="shared" si="34"/>
        <v>1</v>
      </c>
      <c r="D191" s="666"/>
      <c r="E191" s="21">
        <f t="shared" si="35"/>
        <v>0.03</v>
      </c>
      <c r="F191" s="666"/>
      <c r="G191" s="21">
        <f t="shared" si="36"/>
        <v>0</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664"/>
      <c r="B192" s="54"/>
      <c r="C192" s="21">
        <f t="shared" si="34"/>
        <v>1</v>
      </c>
      <c r="D192" s="666"/>
      <c r="E192" s="21">
        <f t="shared" si="35"/>
        <v>0.03</v>
      </c>
      <c r="F192" s="666"/>
      <c r="G192" s="21">
        <f t="shared" si="36"/>
        <v>0</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664"/>
      <c r="B193" s="54"/>
      <c r="C193" s="21">
        <f t="shared" si="34"/>
        <v>1</v>
      </c>
      <c r="D193" s="666"/>
      <c r="E193" s="21">
        <f t="shared" si="35"/>
        <v>0.03</v>
      </c>
      <c r="F193" s="666"/>
      <c r="G193" s="21">
        <f t="shared" si="36"/>
        <v>0</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664"/>
      <c r="B194" s="54"/>
      <c r="C194" s="21">
        <f t="shared" si="34"/>
        <v>1</v>
      </c>
      <c r="D194" s="666"/>
      <c r="E194" s="21">
        <f t="shared" si="35"/>
        <v>0.03</v>
      </c>
      <c r="F194" s="666"/>
      <c r="G194" s="21">
        <f t="shared" si="36"/>
        <v>0</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664"/>
      <c r="B195" s="54"/>
      <c r="C195" s="21">
        <f t="shared" si="34"/>
        <v>1</v>
      </c>
      <c r="D195" s="666"/>
      <c r="E195" s="21">
        <f t="shared" si="35"/>
        <v>0.03</v>
      </c>
      <c r="F195" s="666"/>
      <c r="G195" s="21">
        <f t="shared" si="36"/>
        <v>0</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664"/>
      <c r="B196" s="54"/>
      <c r="C196" s="21">
        <f t="shared" si="34"/>
        <v>1</v>
      </c>
      <c r="D196" s="666"/>
      <c r="E196" s="21">
        <f t="shared" si="35"/>
        <v>0.03</v>
      </c>
      <c r="F196" s="666"/>
      <c r="G196" s="21">
        <f t="shared" si="36"/>
        <v>0</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664"/>
      <c r="B197" s="54"/>
      <c r="C197" s="21">
        <f t="shared" si="34"/>
        <v>1</v>
      </c>
      <c r="D197" s="666"/>
      <c r="E197" s="21">
        <f t="shared" si="35"/>
        <v>0.03</v>
      </c>
      <c r="F197" s="666"/>
      <c r="G197" s="21">
        <f t="shared" si="36"/>
        <v>0</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664"/>
      <c r="B198" s="54"/>
      <c r="C198" s="21">
        <f t="shared" si="34"/>
        <v>1</v>
      </c>
      <c r="D198" s="666"/>
      <c r="E198" s="21">
        <f t="shared" si="35"/>
        <v>0.03</v>
      </c>
      <c r="F198" s="666"/>
      <c r="G198" s="21">
        <f t="shared" si="36"/>
        <v>0</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664"/>
      <c r="B199" s="54"/>
      <c r="C199" s="21">
        <f t="shared" si="34"/>
        <v>1</v>
      </c>
      <c r="D199" s="666"/>
      <c r="E199" s="21">
        <f t="shared" si="35"/>
        <v>0.03</v>
      </c>
      <c r="F199" s="666"/>
      <c r="G199" s="21">
        <f t="shared" si="36"/>
        <v>0</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664"/>
      <c r="B200" s="54"/>
      <c r="C200" s="21">
        <f t="shared" si="34"/>
        <v>1</v>
      </c>
      <c r="D200" s="666"/>
      <c r="E200" s="21">
        <f t="shared" si="35"/>
        <v>0.03</v>
      </c>
      <c r="F200" s="666"/>
      <c r="G200" s="21">
        <f t="shared" si="36"/>
        <v>0</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664"/>
      <c r="B201" s="54"/>
      <c r="C201" s="21">
        <f t="shared" si="34"/>
        <v>1</v>
      </c>
      <c r="D201" s="666"/>
      <c r="E201" s="21">
        <f t="shared" si="35"/>
        <v>0.03</v>
      </c>
      <c r="F201" s="666"/>
      <c r="G201" s="21">
        <f t="shared" si="36"/>
        <v>0</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664"/>
      <c r="B202" s="54"/>
      <c r="C202" s="21">
        <f t="shared" si="34"/>
        <v>1</v>
      </c>
      <c r="D202" s="666"/>
      <c r="E202" s="21">
        <f t="shared" si="35"/>
        <v>0.03</v>
      </c>
      <c r="F202" s="666"/>
      <c r="G202" s="21">
        <f t="shared" si="36"/>
        <v>0</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664"/>
      <c r="B203" s="54"/>
      <c r="C203" s="21">
        <f t="shared" si="34"/>
        <v>1</v>
      </c>
      <c r="D203" s="666"/>
      <c r="E203" s="21">
        <f t="shared" si="35"/>
        <v>0.03</v>
      </c>
      <c r="F203" s="666"/>
      <c r="G203" s="21">
        <f t="shared" si="36"/>
        <v>0</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664"/>
      <c r="B204" s="54"/>
      <c r="C204" s="21">
        <f t="shared" si="34"/>
        <v>1</v>
      </c>
      <c r="D204" s="666"/>
      <c r="E204" s="21">
        <f t="shared" si="35"/>
        <v>0.03</v>
      </c>
      <c r="F204" s="666"/>
      <c r="G204" s="21">
        <f t="shared" si="36"/>
        <v>0</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664"/>
      <c r="B205" s="54"/>
      <c r="C205" s="21">
        <f t="shared" si="34"/>
        <v>1</v>
      </c>
      <c r="D205" s="666"/>
      <c r="E205" s="21">
        <f t="shared" si="35"/>
        <v>0.03</v>
      </c>
      <c r="F205" s="666"/>
      <c r="G205" s="21">
        <f t="shared" si="36"/>
        <v>0</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664"/>
      <c r="B206" s="54"/>
      <c r="C206" s="21">
        <f t="shared" si="34"/>
        <v>1</v>
      </c>
      <c r="D206" s="666"/>
      <c r="E206" s="21">
        <f t="shared" si="35"/>
        <v>0.03</v>
      </c>
      <c r="F206" s="666"/>
      <c r="G206" s="21">
        <f t="shared" si="36"/>
        <v>0</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664"/>
      <c r="B207" s="54"/>
      <c r="C207" s="21">
        <f t="shared" si="34"/>
        <v>1</v>
      </c>
      <c r="D207" s="666"/>
      <c r="E207" s="21">
        <f t="shared" si="35"/>
        <v>0.03</v>
      </c>
      <c r="F207" s="666"/>
      <c r="G207" s="21">
        <f t="shared" si="36"/>
        <v>0</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664"/>
      <c r="B208" s="54"/>
      <c r="C208" s="21">
        <f t="shared" si="34"/>
        <v>1</v>
      </c>
      <c r="D208" s="666"/>
      <c r="E208" s="21">
        <f t="shared" si="35"/>
        <v>0.03</v>
      </c>
      <c r="F208" s="666"/>
      <c r="G208" s="21">
        <f t="shared" si="36"/>
        <v>0</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664"/>
      <c r="B209" s="54"/>
      <c r="C209" s="21">
        <f t="shared" si="34"/>
        <v>1</v>
      </c>
      <c r="D209" s="666"/>
      <c r="E209" s="21">
        <f t="shared" si="35"/>
        <v>0.03</v>
      </c>
      <c r="F209" s="666"/>
      <c r="G209" s="21">
        <f t="shared" si="36"/>
        <v>0</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664"/>
      <c r="B210" s="54"/>
      <c r="C210" s="21">
        <f t="shared" si="34"/>
        <v>1</v>
      </c>
      <c r="D210" s="666"/>
      <c r="E210" s="21">
        <f t="shared" si="35"/>
        <v>0.03</v>
      </c>
      <c r="F210" s="666"/>
      <c r="G210" s="21">
        <f t="shared" si="36"/>
        <v>0</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664"/>
      <c r="B211" s="54"/>
      <c r="C211" s="21">
        <f t="shared" si="34"/>
        <v>1</v>
      </c>
      <c r="D211" s="666"/>
      <c r="E211" s="21">
        <f t="shared" si="35"/>
        <v>0.03</v>
      </c>
      <c r="F211" s="666"/>
      <c r="G211" s="21">
        <f t="shared" si="36"/>
        <v>0</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664"/>
      <c r="B212" s="54"/>
      <c r="C212" s="21">
        <f t="shared" si="34"/>
        <v>1</v>
      </c>
      <c r="D212" s="666"/>
      <c r="E212" s="21">
        <f t="shared" si="35"/>
        <v>0.03</v>
      </c>
      <c r="F212" s="666"/>
      <c r="G212" s="21">
        <f t="shared" si="36"/>
        <v>0</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664"/>
      <c r="B213" s="54"/>
      <c r="C213" s="21">
        <f t="shared" si="34"/>
        <v>1</v>
      </c>
      <c r="D213" s="666"/>
      <c r="E213" s="21">
        <f t="shared" si="35"/>
        <v>0.03</v>
      </c>
      <c r="F213" s="666"/>
      <c r="G213" s="21">
        <f t="shared" si="36"/>
        <v>0</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664"/>
      <c r="B214" s="54"/>
      <c r="C214" s="21">
        <f t="shared" si="34"/>
        <v>1</v>
      </c>
      <c r="D214" s="666"/>
      <c r="E214" s="21">
        <f t="shared" si="35"/>
        <v>0.03</v>
      </c>
      <c r="F214" s="666"/>
      <c r="G214" s="21">
        <f t="shared" si="36"/>
        <v>0</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664"/>
      <c r="B215" s="54"/>
      <c r="C215" s="21">
        <f t="shared" si="34"/>
        <v>1</v>
      </c>
      <c r="D215" s="666"/>
      <c r="E215" s="21">
        <f t="shared" si="35"/>
        <v>0.03</v>
      </c>
      <c r="F215" s="666"/>
      <c r="G215" s="21">
        <f t="shared" si="36"/>
        <v>0</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664"/>
      <c r="B216" s="54"/>
      <c r="C216" s="21">
        <f t="shared" si="34"/>
        <v>1</v>
      </c>
      <c r="D216" s="666"/>
      <c r="E216" s="21">
        <f t="shared" si="35"/>
        <v>0.03</v>
      </c>
      <c r="F216" s="666"/>
      <c r="G216" s="21">
        <f t="shared" si="36"/>
        <v>0</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664"/>
      <c r="B217" s="54"/>
      <c r="C217" s="21">
        <f t="shared" si="34"/>
        <v>1</v>
      </c>
      <c r="D217" s="666"/>
      <c r="E217" s="21">
        <f t="shared" si="35"/>
        <v>0.03</v>
      </c>
      <c r="F217" s="666"/>
      <c r="G217" s="21">
        <f t="shared" si="36"/>
        <v>0</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664"/>
      <c r="B218" s="54"/>
      <c r="C218" s="21">
        <f t="shared" ref="C218:C281" si="44">IF(B218="",1,(LOOKUP(B218,$3:$3,$4:$4)-LOOKUP($B$24,$3:$3,$4:$4)+100)/100)</f>
        <v>1</v>
      </c>
      <c r="D218" s="666"/>
      <c r="E218" s="21">
        <f t="shared" ref="E218:E281" si="45">(SUMIF($5:$5,D218,$6:$6)-SUMIF($5:$5,$D$24,$6:$6)+100)/100</f>
        <v>0.03</v>
      </c>
      <c r="F218" s="666"/>
      <c r="G218" s="21">
        <f t="shared" ref="G218:G281" si="46">(SUMIF($7:$7,F218,$8:$8)-SUMIF($7:$7,$F$24,$8:$8)+100)/100</f>
        <v>0</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664"/>
      <c r="B219" s="54"/>
      <c r="C219" s="21">
        <f t="shared" si="44"/>
        <v>1</v>
      </c>
      <c r="D219" s="666"/>
      <c r="E219" s="21">
        <f t="shared" si="45"/>
        <v>0.03</v>
      </c>
      <c r="F219" s="666"/>
      <c r="G219" s="21">
        <f t="shared" si="46"/>
        <v>0</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664"/>
      <c r="B220" s="54"/>
      <c r="C220" s="21">
        <f t="shared" si="44"/>
        <v>1</v>
      </c>
      <c r="D220" s="666"/>
      <c r="E220" s="21">
        <f t="shared" si="45"/>
        <v>0.03</v>
      </c>
      <c r="F220" s="666"/>
      <c r="G220" s="21">
        <f t="shared" si="46"/>
        <v>0</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664"/>
      <c r="B221" s="54"/>
      <c r="C221" s="21">
        <f t="shared" si="44"/>
        <v>1</v>
      </c>
      <c r="D221" s="666"/>
      <c r="E221" s="21">
        <f t="shared" si="45"/>
        <v>0.03</v>
      </c>
      <c r="F221" s="666"/>
      <c r="G221" s="21">
        <f t="shared" si="46"/>
        <v>0</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664"/>
      <c r="B222" s="54"/>
      <c r="C222" s="21">
        <f t="shared" si="44"/>
        <v>1</v>
      </c>
      <c r="D222" s="666"/>
      <c r="E222" s="21">
        <f t="shared" si="45"/>
        <v>0.03</v>
      </c>
      <c r="F222" s="666"/>
      <c r="G222" s="21">
        <f t="shared" si="46"/>
        <v>0</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664"/>
      <c r="B223" s="54"/>
      <c r="C223" s="21">
        <f t="shared" si="44"/>
        <v>1</v>
      </c>
      <c r="D223" s="666"/>
      <c r="E223" s="21">
        <f t="shared" si="45"/>
        <v>0.03</v>
      </c>
      <c r="F223" s="666"/>
      <c r="G223" s="21">
        <f t="shared" si="46"/>
        <v>0</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664"/>
      <c r="B224" s="54"/>
      <c r="C224" s="21">
        <f t="shared" si="44"/>
        <v>1</v>
      </c>
      <c r="D224" s="666"/>
      <c r="E224" s="21">
        <f t="shared" si="45"/>
        <v>0.03</v>
      </c>
      <c r="F224" s="666"/>
      <c r="G224" s="21">
        <f t="shared" si="46"/>
        <v>0</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664"/>
      <c r="B225" s="54"/>
      <c r="C225" s="21">
        <f t="shared" si="44"/>
        <v>1</v>
      </c>
      <c r="D225" s="666"/>
      <c r="E225" s="21">
        <f t="shared" si="45"/>
        <v>0.03</v>
      </c>
      <c r="F225" s="666"/>
      <c r="G225" s="21">
        <f t="shared" si="46"/>
        <v>0</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664"/>
      <c r="B226" s="54"/>
      <c r="C226" s="21">
        <f t="shared" si="44"/>
        <v>1</v>
      </c>
      <c r="D226" s="666"/>
      <c r="E226" s="21">
        <f t="shared" si="45"/>
        <v>0.03</v>
      </c>
      <c r="F226" s="666"/>
      <c r="G226" s="21">
        <f t="shared" si="46"/>
        <v>0</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664"/>
      <c r="B227" s="54"/>
      <c r="C227" s="21">
        <f t="shared" si="44"/>
        <v>1</v>
      </c>
      <c r="D227" s="666"/>
      <c r="E227" s="21">
        <f t="shared" si="45"/>
        <v>0.03</v>
      </c>
      <c r="F227" s="666"/>
      <c r="G227" s="21">
        <f t="shared" si="46"/>
        <v>0</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664"/>
      <c r="B228" s="54"/>
      <c r="C228" s="21">
        <f t="shared" si="44"/>
        <v>1</v>
      </c>
      <c r="D228" s="666"/>
      <c r="E228" s="21">
        <f t="shared" si="45"/>
        <v>0.03</v>
      </c>
      <c r="F228" s="666"/>
      <c r="G228" s="21">
        <f t="shared" si="46"/>
        <v>0</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664"/>
      <c r="B229" s="54"/>
      <c r="C229" s="21">
        <f t="shared" si="44"/>
        <v>1</v>
      </c>
      <c r="D229" s="666"/>
      <c r="E229" s="21">
        <f t="shared" si="45"/>
        <v>0.03</v>
      </c>
      <c r="F229" s="666"/>
      <c r="G229" s="21">
        <f t="shared" si="46"/>
        <v>0</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664"/>
      <c r="B230" s="54"/>
      <c r="C230" s="21">
        <f t="shared" si="44"/>
        <v>1</v>
      </c>
      <c r="D230" s="666"/>
      <c r="E230" s="21">
        <f t="shared" si="45"/>
        <v>0.03</v>
      </c>
      <c r="F230" s="666"/>
      <c r="G230" s="21">
        <f t="shared" si="46"/>
        <v>0</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664"/>
      <c r="B231" s="54"/>
      <c r="C231" s="21">
        <f t="shared" si="44"/>
        <v>1</v>
      </c>
      <c r="D231" s="666"/>
      <c r="E231" s="21">
        <f t="shared" si="45"/>
        <v>0.03</v>
      </c>
      <c r="F231" s="666"/>
      <c r="G231" s="21">
        <f t="shared" si="46"/>
        <v>0</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664"/>
      <c r="B232" s="54"/>
      <c r="C232" s="21">
        <f t="shared" si="44"/>
        <v>1</v>
      </c>
      <c r="D232" s="666"/>
      <c r="E232" s="21">
        <f t="shared" si="45"/>
        <v>0.03</v>
      </c>
      <c r="F232" s="666"/>
      <c r="G232" s="21">
        <f t="shared" si="46"/>
        <v>0</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664"/>
      <c r="B233" s="54"/>
      <c r="C233" s="21">
        <f t="shared" si="44"/>
        <v>1</v>
      </c>
      <c r="D233" s="666"/>
      <c r="E233" s="21">
        <f t="shared" si="45"/>
        <v>0.03</v>
      </c>
      <c r="F233" s="666"/>
      <c r="G233" s="21">
        <f t="shared" si="46"/>
        <v>0</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664"/>
      <c r="B234" s="54"/>
      <c r="C234" s="21">
        <f t="shared" si="44"/>
        <v>1</v>
      </c>
      <c r="D234" s="666"/>
      <c r="E234" s="21">
        <f t="shared" si="45"/>
        <v>0.03</v>
      </c>
      <c r="F234" s="666"/>
      <c r="G234" s="21">
        <f t="shared" si="46"/>
        <v>0</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664"/>
      <c r="B235" s="54"/>
      <c r="C235" s="21">
        <f t="shared" si="44"/>
        <v>1</v>
      </c>
      <c r="D235" s="666"/>
      <c r="E235" s="21">
        <f t="shared" si="45"/>
        <v>0.03</v>
      </c>
      <c r="F235" s="666"/>
      <c r="G235" s="21">
        <f t="shared" si="46"/>
        <v>0</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664"/>
      <c r="B236" s="54"/>
      <c r="C236" s="21">
        <f t="shared" si="44"/>
        <v>1</v>
      </c>
      <c r="D236" s="666"/>
      <c r="E236" s="21">
        <f t="shared" si="45"/>
        <v>0.03</v>
      </c>
      <c r="F236" s="666"/>
      <c r="G236" s="21">
        <f t="shared" si="46"/>
        <v>0</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664"/>
      <c r="B237" s="54"/>
      <c r="C237" s="21">
        <f t="shared" si="44"/>
        <v>1</v>
      </c>
      <c r="D237" s="666"/>
      <c r="E237" s="21">
        <f t="shared" si="45"/>
        <v>0.03</v>
      </c>
      <c r="F237" s="666"/>
      <c r="G237" s="21">
        <f t="shared" si="46"/>
        <v>0</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664"/>
      <c r="B238" s="54"/>
      <c r="C238" s="21">
        <f t="shared" si="44"/>
        <v>1</v>
      </c>
      <c r="D238" s="666"/>
      <c r="E238" s="21">
        <f t="shared" si="45"/>
        <v>0.03</v>
      </c>
      <c r="F238" s="666"/>
      <c r="G238" s="21">
        <f t="shared" si="46"/>
        <v>0</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664"/>
      <c r="B239" s="54"/>
      <c r="C239" s="21">
        <f t="shared" si="44"/>
        <v>1</v>
      </c>
      <c r="D239" s="666"/>
      <c r="E239" s="21">
        <f t="shared" si="45"/>
        <v>0.03</v>
      </c>
      <c r="F239" s="666"/>
      <c r="G239" s="21">
        <f t="shared" si="46"/>
        <v>0</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664"/>
      <c r="B240" s="54"/>
      <c r="C240" s="21">
        <f t="shared" si="44"/>
        <v>1</v>
      </c>
      <c r="D240" s="666"/>
      <c r="E240" s="21">
        <f t="shared" si="45"/>
        <v>0.03</v>
      </c>
      <c r="F240" s="666"/>
      <c r="G240" s="21">
        <f t="shared" si="46"/>
        <v>0</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664"/>
      <c r="B241" s="54"/>
      <c r="C241" s="21">
        <f t="shared" si="44"/>
        <v>1</v>
      </c>
      <c r="D241" s="666"/>
      <c r="E241" s="21">
        <f t="shared" si="45"/>
        <v>0.03</v>
      </c>
      <c r="F241" s="666"/>
      <c r="G241" s="21">
        <f t="shared" si="46"/>
        <v>0</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664"/>
      <c r="B242" s="54"/>
      <c r="C242" s="21">
        <f t="shared" si="44"/>
        <v>1</v>
      </c>
      <c r="D242" s="666"/>
      <c r="E242" s="21">
        <f t="shared" si="45"/>
        <v>0.03</v>
      </c>
      <c r="F242" s="666"/>
      <c r="G242" s="21">
        <f t="shared" si="46"/>
        <v>0</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664"/>
      <c r="B243" s="54"/>
      <c r="C243" s="21">
        <f t="shared" si="44"/>
        <v>1</v>
      </c>
      <c r="D243" s="666"/>
      <c r="E243" s="21">
        <f t="shared" si="45"/>
        <v>0.03</v>
      </c>
      <c r="F243" s="666"/>
      <c r="G243" s="21">
        <f t="shared" si="46"/>
        <v>0</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664"/>
      <c r="B244" s="54"/>
      <c r="C244" s="21">
        <f t="shared" si="44"/>
        <v>1</v>
      </c>
      <c r="D244" s="666"/>
      <c r="E244" s="21">
        <f t="shared" si="45"/>
        <v>0.03</v>
      </c>
      <c r="F244" s="666"/>
      <c r="G244" s="21">
        <f t="shared" si="46"/>
        <v>0</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664"/>
      <c r="B245" s="54"/>
      <c r="C245" s="21">
        <f t="shared" si="44"/>
        <v>1</v>
      </c>
      <c r="D245" s="666"/>
      <c r="E245" s="21">
        <f t="shared" si="45"/>
        <v>0.03</v>
      </c>
      <c r="F245" s="666"/>
      <c r="G245" s="21">
        <f t="shared" si="46"/>
        <v>0</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664"/>
      <c r="B246" s="54"/>
      <c r="C246" s="21">
        <f t="shared" si="44"/>
        <v>1</v>
      </c>
      <c r="D246" s="666"/>
      <c r="E246" s="21">
        <f t="shared" si="45"/>
        <v>0.03</v>
      </c>
      <c r="F246" s="666"/>
      <c r="G246" s="21">
        <f t="shared" si="46"/>
        <v>0</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664"/>
      <c r="B247" s="54"/>
      <c r="C247" s="21">
        <f t="shared" si="44"/>
        <v>1</v>
      </c>
      <c r="D247" s="666"/>
      <c r="E247" s="21">
        <f t="shared" si="45"/>
        <v>0.03</v>
      </c>
      <c r="F247" s="666"/>
      <c r="G247" s="21">
        <f t="shared" si="46"/>
        <v>0</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664"/>
      <c r="B248" s="54"/>
      <c r="C248" s="21">
        <f t="shared" si="44"/>
        <v>1</v>
      </c>
      <c r="D248" s="666"/>
      <c r="E248" s="21">
        <f t="shared" si="45"/>
        <v>0.03</v>
      </c>
      <c r="F248" s="666"/>
      <c r="G248" s="21">
        <f t="shared" si="46"/>
        <v>0</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664"/>
      <c r="B249" s="54"/>
      <c r="C249" s="21">
        <f t="shared" si="44"/>
        <v>1</v>
      </c>
      <c r="D249" s="666"/>
      <c r="E249" s="21">
        <f t="shared" si="45"/>
        <v>0.03</v>
      </c>
      <c r="F249" s="666"/>
      <c r="G249" s="21">
        <f t="shared" si="46"/>
        <v>0</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664"/>
      <c r="B250" s="54"/>
      <c r="C250" s="21">
        <f t="shared" si="44"/>
        <v>1</v>
      </c>
      <c r="D250" s="666"/>
      <c r="E250" s="21">
        <f t="shared" si="45"/>
        <v>0.03</v>
      </c>
      <c r="F250" s="666"/>
      <c r="G250" s="21">
        <f t="shared" si="46"/>
        <v>0</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664"/>
      <c r="B251" s="54"/>
      <c r="C251" s="21">
        <f t="shared" si="44"/>
        <v>1</v>
      </c>
      <c r="D251" s="666"/>
      <c r="E251" s="21">
        <f t="shared" si="45"/>
        <v>0.03</v>
      </c>
      <c r="F251" s="666"/>
      <c r="G251" s="21">
        <f t="shared" si="46"/>
        <v>0</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664"/>
      <c r="B252" s="54"/>
      <c r="C252" s="21">
        <f t="shared" si="44"/>
        <v>1</v>
      </c>
      <c r="D252" s="666"/>
      <c r="E252" s="21">
        <f t="shared" si="45"/>
        <v>0.03</v>
      </c>
      <c r="F252" s="666"/>
      <c r="G252" s="21">
        <f t="shared" si="46"/>
        <v>0</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664"/>
      <c r="B253" s="54"/>
      <c r="C253" s="21">
        <f t="shared" si="44"/>
        <v>1</v>
      </c>
      <c r="D253" s="666"/>
      <c r="E253" s="21">
        <f t="shared" si="45"/>
        <v>0.03</v>
      </c>
      <c r="F253" s="666"/>
      <c r="G253" s="21">
        <f t="shared" si="46"/>
        <v>0</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664"/>
      <c r="B254" s="54"/>
      <c r="C254" s="21">
        <f t="shared" si="44"/>
        <v>1</v>
      </c>
      <c r="D254" s="666"/>
      <c r="E254" s="21">
        <f t="shared" si="45"/>
        <v>0.03</v>
      </c>
      <c r="F254" s="666"/>
      <c r="G254" s="21">
        <f t="shared" si="46"/>
        <v>0</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664"/>
      <c r="B255" s="54"/>
      <c r="C255" s="21">
        <f t="shared" si="44"/>
        <v>1</v>
      </c>
      <c r="D255" s="666"/>
      <c r="E255" s="21">
        <f t="shared" si="45"/>
        <v>0.03</v>
      </c>
      <c r="F255" s="666"/>
      <c r="G255" s="21">
        <f t="shared" si="46"/>
        <v>0</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664"/>
      <c r="B256" s="54"/>
      <c r="C256" s="21">
        <f t="shared" si="44"/>
        <v>1</v>
      </c>
      <c r="D256" s="666"/>
      <c r="E256" s="21">
        <f t="shared" si="45"/>
        <v>0.03</v>
      </c>
      <c r="F256" s="666"/>
      <c r="G256" s="21">
        <f t="shared" si="46"/>
        <v>0</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664"/>
      <c r="B257" s="54"/>
      <c r="C257" s="21">
        <f t="shared" si="44"/>
        <v>1</v>
      </c>
      <c r="D257" s="666"/>
      <c r="E257" s="21">
        <f t="shared" si="45"/>
        <v>0.03</v>
      </c>
      <c r="F257" s="666"/>
      <c r="G257" s="21">
        <f t="shared" si="46"/>
        <v>0</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664"/>
      <c r="B258" s="54"/>
      <c r="C258" s="21">
        <f t="shared" si="44"/>
        <v>1</v>
      </c>
      <c r="D258" s="666"/>
      <c r="E258" s="21">
        <f t="shared" si="45"/>
        <v>0.03</v>
      </c>
      <c r="F258" s="666"/>
      <c r="G258" s="21">
        <f t="shared" si="46"/>
        <v>0</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664"/>
      <c r="B259" s="54"/>
      <c r="C259" s="21">
        <f t="shared" si="44"/>
        <v>1</v>
      </c>
      <c r="D259" s="666"/>
      <c r="E259" s="21">
        <f t="shared" si="45"/>
        <v>0.03</v>
      </c>
      <c r="F259" s="666"/>
      <c r="G259" s="21">
        <f t="shared" si="46"/>
        <v>0</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664"/>
      <c r="B260" s="54"/>
      <c r="C260" s="21">
        <f t="shared" si="44"/>
        <v>1</v>
      </c>
      <c r="D260" s="666"/>
      <c r="E260" s="21">
        <f t="shared" si="45"/>
        <v>0.03</v>
      </c>
      <c r="F260" s="666"/>
      <c r="G260" s="21">
        <f t="shared" si="46"/>
        <v>0</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664"/>
      <c r="B261" s="54"/>
      <c r="C261" s="21">
        <f t="shared" si="44"/>
        <v>1</v>
      </c>
      <c r="D261" s="666"/>
      <c r="E261" s="21">
        <f t="shared" si="45"/>
        <v>0.03</v>
      </c>
      <c r="F261" s="666"/>
      <c r="G261" s="21">
        <f t="shared" si="46"/>
        <v>0</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664"/>
      <c r="B262" s="54"/>
      <c r="C262" s="21">
        <f t="shared" si="44"/>
        <v>1</v>
      </c>
      <c r="D262" s="666"/>
      <c r="E262" s="21">
        <f t="shared" si="45"/>
        <v>0.03</v>
      </c>
      <c r="F262" s="666"/>
      <c r="G262" s="21">
        <f t="shared" si="46"/>
        <v>0</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664"/>
      <c r="B263" s="54"/>
      <c r="C263" s="21">
        <f t="shared" si="44"/>
        <v>1</v>
      </c>
      <c r="D263" s="666"/>
      <c r="E263" s="21">
        <f t="shared" si="45"/>
        <v>0.03</v>
      </c>
      <c r="F263" s="666"/>
      <c r="G263" s="21">
        <f t="shared" si="46"/>
        <v>0</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664"/>
      <c r="B264" s="54"/>
      <c r="C264" s="21">
        <f t="shared" si="44"/>
        <v>1</v>
      </c>
      <c r="D264" s="666"/>
      <c r="E264" s="21">
        <f t="shared" si="45"/>
        <v>0.03</v>
      </c>
      <c r="F264" s="666"/>
      <c r="G264" s="21">
        <f t="shared" si="46"/>
        <v>0</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664"/>
      <c r="B265" s="54"/>
      <c r="C265" s="21">
        <f t="shared" si="44"/>
        <v>1</v>
      </c>
      <c r="D265" s="666"/>
      <c r="E265" s="21">
        <f t="shared" si="45"/>
        <v>0.03</v>
      </c>
      <c r="F265" s="666"/>
      <c r="G265" s="21">
        <f t="shared" si="46"/>
        <v>0</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664"/>
      <c r="B266" s="54"/>
      <c r="C266" s="21">
        <f t="shared" si="44"/>
        <v>1</v>
      </c>
      <c r="D266" s="666"/>
      <c r="E266" s="21">
        <f t="shared" si="45"/>
        <v>0.03</v>
      </c>
      <c r="F266" s="666"/>
      <c r="G266" s="21">
        <f t="shared" si="46"/>
        <v>0</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664"/>
      <c r="B267" s="54"/>
      <c r="C267" s="21">
        <f t="shared" si="44"/>
        <v>1</v>
      </c>
      <c r="D267" s="666"/>
      <c r="E267" s="21">
        <f t="shared" si="45"/>
        <v>0.03</v>
      </c>
      <c r="F267" s="666"/>
      <c r="G267" s="21">
        <f t="shared" si="46"/>
        <v>0</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664"/>
      <c r="B268" s="54"/>
      <c r="C268" s="21">
        <f t="shared" si="44"/>
        <v>1</v>
      </c>
      <c r="D268" s="666"/>
      <c r="E268" s="21">
        <f t="shared" si="45"/>
        <v>0.03</v>
      </c>
      <c r="F268" s="666"/>
      <c r="G268" s="21">
        <f t="shared" si="46"/>
        <v>0</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664"/>
      <c r="B269" s="54"/>
      <c r="C269" s="21">
        <f t="shared" si="44"/>
        <v>1</v>
      </c>
      <c r="D269" s="666"/>
      <c r="E269" s="21">
        <f t="shared" si="45"/>
        <v>0.03</v>
      </c>
      <c r="F269" s="666"/>
      <c r="G269" s="21">
        <f t="shared" si="46"/>
        <v>0</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664"/>
      <c r="B270" s="54"/>
      <c r="C270" s="21">
        <f t="shared" si="44"/>
        <v>1</v>
      </c>
      <c r="D270" s="666"/>
      <c r="E270" s="21">
        <f t="shared" si="45"/>
        <v>0.03</v>
      </c>
      <c r="F270" s="666"/>
      <c r="G270" s="21">
        <f t="shared" si="46"/>
        <v>0</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664"/>
      <c r="B271" s="54"/>
      <c r="C271" s="21">
        <f t="shared" si="44"/>
        <v>1</v>
      </c>
      <c r="D271" s="666"/>
      <c r="E271" s="21">
        <f t="shared" si="45"/>
        <v>0.03</v>
      </c>
      <c r="F271" s="666"/>
      <c r="G271" s="21">
        <f t="shared" si="46"/>
        <v>0</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664"/>
      <c r="B272" s="54"/>
      <c r="C272" s="21">
        <f t="shared" si="44"/>
        <v>1</v>
      </c>
      <c r="D272" s="666"/>
      <c r="E272" s="21">
        <f t="shared" si="45"/>
        <v>0.03</v>
      </c>
      <c r="F272" s="666"/>
      <c r="G272" s="21">
        <f t="shared" si="46"/>
        <v>0</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664"/>
      <c r="B273" s="54"/>
      <c r="C273" s="21">
        <f t="shared" si="44"/>
        <v>1</v>
      </c>
      <c r="D273" s="666"/>
      <c r="E273" s="21">
        <f t="shared" si="45"/>
        <v>0.03</v>
      </c>
      <c r="F273" s="666"/>
      <c r="G273" s="21">
        <f t="shared" si="46"/>
        <v>0</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664"/>
      <c r="B274" s="54"/>
      <c r="C274" s="21">
        <f t="shared" si="44"/>
        <v>1</v>
      </c>
      <c r="D274" s="666"/>
      <c r="E274" s="21">
        <f t="shared" si="45"/>
        <v>0.03</v>
      </c>
      <c r="F274" s="666"/>
      <c r="G274" s="21">
        <f t="shared" si="46"/>
        <v>0</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664"/>
      <c r="B275" s="54"/>
      <c r="C275" s="21">
        <f t="shared" si="44"/>
        <v>1</v>
      </c>
      <c r="D275" s="666"/>
      <c r="E275" s="21">
        <f t="shared" si="45"/>
        <v>0.03</v>
      </c>
      <c r="F275" s="666"/>
      <c r="G275" s="21">
        <f t="shared" si="46"/>
        <v>0</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664"/>
      <c r="B276" s="54"/>
      <c r="C276" s="21">
        <f t="shared" si="44"/>
        <v>1</v>
      </c>
      <c r="D276" s="666"/>
      <c r="E276" s="21">
        <f t="shared" si="45"/>
        <v>0.03</v>
      </c>
      <c r="F276" s="666"/>
      <c r="G276" s="21">
        <f t="shared" si="46"/>
        <v>0</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664"/>
      <c r="B277" s="54"/>
      <c r="C277" s="21">
        <f t="shared" si="44"/>
        <v>1</v>
      </c>
      <c r="D277" s="666"/>
      <c r="E277" s="21">
        <f t="shared" si="45"/>
        <v>0.03</v>
      </c>
      <c r="F277" s="666"/>
      <c r="G277" s="21">
        <f t="shared" si="46"/>
        <v>0</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664"/>
      <c r="B278" s="54"/>
      <c r="C278" s="21">
        <f t="shared" si="44"/>
        <v>1</v>
      </c>
      <c r="D278" s="666"/>
      <c r="E278" s="21">
        <f t="shared" si="45"/>
        <v>0.03</v>
      </c>
      <c r="F278" s="666"/>
      <c r="G278" s="21">
        <f t="shared" si="46"/>
        <v>0</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664"/>
      <c r="B279" s="54"/>
      <c r="C279" s="21">
        <f t="shared" si="44"/>
        <v>1</v>
      </c>
      <c r="D279" s="666"/>
      <c r="E279" s="21">
        <f t="shared" si="45"/>
        <v>0.03</v>
      </c>
      <c r="F279" s="666"/>
      <c r="G279" s="21">
        <f t="shared" si="46"/>
        <v>0</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664"/>
      <c r="B280" s="54"/>
      <c r="C280" s="21">
        <f t="shared" si="44"/>
        <v>1</v>
      </c>
      <c r="D280" s="666"/>
      <c r="E280" s="21">
        <f t="shared" si="45"/>
        <v>0.03</v>
      </c>
      <c r="F280" s="666"/>
      <c r="G280" s="21">
        <f t="shared" si="46"/>
        <v>0</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664"/>
      <c r="B281" s="54"/>
      <c r="C281" s="21">
        <f t="shared" si="44"/>
        <v>1</v>
      </c>
      <c r="D281" s="666"/>
      <c r="E281" s="21">
        <f t="shared" si="45"/>
        <v>0.03</v>
      </c>
      <c r="F281" s="666"/>
      <c r="G281" s="21">
        <f t="shared" si="46"/>
        <v>0</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664"/>
      <c r="B282" s="54"/>
      <c r="C282" s="21">
        <f t="shared" ref="C282:C345" si="54">IF(B282="",1,(LOOKUP(B282,$3:$3,$4:$4)-LOOKUP($B$24,$3:$3,$4:$4)+100)/100)</f>
        <v>1</v>
      </c>
      <c r="D282" s="666"/>
      <c r="E282" s="21">
        <f t="shared" ref="E282:E345" si="55">(SUMIF($5:$5,D282,$6:$6)-SUMIF($5:$5,$D$24,$6:$6)+100)/100</f>
        <v>0.03</v>
      </c>
      <c r="F282" s="666"/>
      <c r="G282" s="21">
        <f t="shared" ref="G282:G345" si="56">(SUMIF($7:$7,F282,$8:$8)-SUMIF($7:$7,$F$24,$8:$8)+100)/100</f>
        <v>0</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664"/>
      <c r="B283" s="54"/>
      <c r="C283" s="21">
        <f t="shared" si="54"/>
        <v>1</v>
      </c>
      <c r="D283" s="666"/>
      <c r="E283" s="21">
        <f t="shared" si="55"/>
        <v>0.03</v>
      </c>
      <c r="F283" s="666"/>
      <c r="G283" s="21">
        <f t="shared" si="56"/>
        <v>0</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664"/>
      <c r="B284" s="54"/>
      <c r="C284" s="21">
        <f t="shared" si="54"/>
        <v>1</v>
      </c>
      <c r="D284" s="666"/>
      <c r="E284" s="21">
        <f t="shared" si="55"/>
        <v>0.03</v>
      </c>
      <c r="F284" s="666"/>
      <c r="G284" s="21">
        <f t="shared" si="56"/>
        <v>0</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664"/>
      <c r="B285" s="54"/>
      <c r="C285" s="21">
        <f t="shared" si="54"/>
        <v>1</v>
      </c>
      <c r="D285" s="666"/>
      <c r="E285" s="21">
        <f t="shared" si="55"/>
        <v>0.03</v>
      </c>
      <c r="F285" s="666"/>
      <c r="G285" s="21">
        <f t="shared" si="56"/>
        <v>0</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664"/>
      <c r="B286" s="54"/>
      <c r="C286" s="21">
        <f t="shared" si="54"/>
        <v>1</v>
      </c>
      <c r="D286" s="666"/>
      <c r="E286" s="21">
        <f t="shared" si="55"/>
        <v>0.03</v>
      </c>
      <c r="F286" s="666"/>
      <c r="G286" s="21">
        <f t="shared" si="56"/>
        <v>0</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664"/>
      <c r="B287" s="54"/>
      <c r="C287" s="21">
        <f t="shared" si="54"/>
        <v>1</v>
      </c>
      <c r="D287" s="666"/>
      <c r="E287" s="21">
        <f t="shared" si="55"/>
        <v>0.03</v>
      </c>
      <c r="F287" s="666"/>
      <c r="G287" s="21">
        <f t="shared" si="56"/>
        <v>0</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664"/>
      <c r="B288" s="54"/>
      <c r="C288" s="21">
        <f t="shared" si="54"/>
        <v>1</v>
      </c>
      <c r="D288" s="666"/>
      <c r="E288" s="21">
        <f t="shared" si="55"/>
        <v>0.03</v>
      </c>
      <c r="F288" s="666"/>
      <c r="G288" s="21">
        <f t="shared" si="56"/>
        <v>0</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664"/>
      <c r="B289" s="54"/>
      <c r="C289" s="21">
        <f t="shared" si="54"/>
        <v>1</v>
      </c>
      <c r="D289" s="666"/>
      <c r="E289" s="21">
        <f t="shared" si="55"/>
        <v>0.03</v>
      </c>
      <c r="F289" s="666"/>
      <c r="G289" s="21">
        <f t="shared" si="56"/>
        <v>0</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664"/>
      <c r="B290" s="54"/>
      <c r="C290" s="21">
        <f t="shared" si="54"/>
        <v>1</v>
      </c>
      <c r="D290" s="666"/>
      <c r="E290" s="21">
        <f t="shared" si="55"/>
        <v>0.03</v>
      </c>
      <c r="F290" s="666"/>
      <c r="G290" s="21">
        <f t="shared" si="56"/>
        <v>0</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664"/>
      <c r="B291" s="54"/>
      <c r="C291" s="21">
        <f t="shared" si="54"/>
        <v>1</v>
      </c>
      <c r="D291" s="666"/>
      <c r="E291" s="21">
        <f t="shared" si="55"/>
        <v>0.03</v>
      </c>
      <c r="F291" s="666"/>
      <c r="G291" s="21">
        <f t="shared" si="56"/>
        <v>0</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664"/>
      <c r="B292" s="54"/>
      <c r="C292" s="21">
        <f t="shared" si="54"/>
        <v>1</v>
      </c>
      <c r="D292" s="666"/>
      <c r="E292" s="21">
        <f t="shared" si="55"/>
        <v>0.03</v>
      </c>
      <c r="F292" s="666"/>
      <c r="G292" s="21">
        <f t="shared" si="56"/>
        <v>0</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664"/>
      <c r="B293" s="54"/>
      <c r="C293" s="21">
        <f t="shared" si="54"/>
        <v>1</v>
      </c>
      <c r="D293" s="666"/>
      <c r="E293" s="21">
        <f t="shared" si="55"/>
        <v>0.03</v>
      </c>
      <c r="F293" s="666"/>
      <c r="G293" s="21">
        <f t="shared" si="56"/>
        <v>0</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664"/>
      <c r="B294" s="54"/>
      <c r="C294" s="21">
        <f t="shared" si="54"/>
        <v>1</v>
      </c>
      <c r="D294" s="666"/>
      <c r="E294" s="21">
        <f t="shared" si="55"/>
        <v>0.03</v>
      </c>
      <c r="F294" s="666"/>
      <c r="G294" s="21">
        <f t="shared" si="56"/>
        <v>0</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664"/>
      <c r="B295" s="54"/>
      <c r="C295" s="21">
        <f t="shared" si="54"/>
        <v>1</v>
      </c>
      <c r="D295" s="666"/>
      <c r="E295" s="21">
        <f t="shared" si="55"/>
        <v>0.03</v>
      </c>
      <c r="F295" s="666"/>
      <c r="G295" s="21">
        <f t="shared" si="56"/>
        <v>0</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664"/>
      <c r="B296" s="54"/>
      <c r="C296" s="21">
        <f t="shared" si="54"/>
        <v>1</v>
      </c>
      <c r="D296" s="666"/>
      <c r="E296" s="21">
        <f t="shared" si="55"/>
        <v>0.03</v>
      </c>
      <c r="F296" s="666"/>
      <c r="G296" s="21">
        <f t="shared" si="56"/>
        <v>0</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664"/>
      <c r="B297" s="54"/>
      <c r="C297" s="21">
        <f t="shared" si="54"/>
        <v>1</v>
      </c>
      <c r="D297" s="666"/>
      <c r="E297" s="21">
        <f t="shared" si="55"/>
        <v>0.03</v>
      </c>
      <c r="F297" s="666"/>
      <c r="G297" s="21">
        <f t="shared" si="56"/>
        <v>0</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664"/>
      <c r="B298" s="54"/>
      <c r="C298" s="21">
        <f t="shared" si="54"/>
        <v>1</v>
      </c>
      <c r="D298" s="666"/>
      <c r="E298" s="21">
        <f t="shared" si="55"/>
        <v>0.03</v>
      </c>
      <c r="F298" s="666"/>
      <c r="G298" s="21">
        <f t="shared" si="56"/>
        <v>0</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664"/>
      <c r="B299" s="54"/>
      <c r="C299" s="21">
        <f t="shared" si="54"/>
        <v>1</v>
      </c>
      <c r="D299" s="666"/>
      <c r="E299" s="21">
        <f t="shared" si="55"/>
        <v>0.03</v>
      </c>
      <c r="F299" s="666"/>
      <c r="G299" s="21">
        <f t="shared" si="56"/>
        <v>0</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664"/>
      <c r="B300" s="54"/>
      <c r="C300" s="21">
        <f t="shared" si="54"/>
        <v>1</v>
      </c>
      <c r="D300" s="666"/>
      <c r="E300" s="21">
        <f t="shared" si="55"/>
        <v>0.03</v>
      </c>
      <c r="F300" s="666"/>
      <c r="G300" s="21">
        <f t="shared" si="56"/>
        <v>0</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664"/>
      <c r="B301" s="54"/>
      <c r="C301" s="21">
        <f t="shared" si="54"/>
        <v>1</v>
      </c>
      <c r="D301" s="666"/>
      <c r="E301" s="21">
        <f t="shared" si="55"/>
        <v>0.03</v>
      </c>
      <c r="F301" s="666"/>
      <c r="G301" s="21">
        <f t="shared" si="56"/>
        <v>0</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664"/>
      <c r="B302" s="54"/>
      <c r="C302" s="21">
        <f t="shared" si="54"/>
        <v>1</v>
      </c>
      <c r="D302" s="666"/>
      <c r="E302" s="21">
        <f t="shared" si="55"/>
        <v>0.03</v>
      </c>
      <c r="F302" s="666"/>
      <c r="G302" s="21">
        <f t="shared" si="56"/>
        <v>0</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664"/>
      <c r="B303" s="54"/>
      <c r="C303" s="21">
        <f t="shared" si="54"/>
        <v>1</v>
      </c>
      <c r="D303" s="666"/>
      <c r="E303" s="21">
        <f t="shared" si="55"/>
        <v>0.03</v>
      </c>
      <c r="F303" s="666"/>
      <c r="G303" s="21">
        <f t="shared" si="56"/>
        <v>0</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664"/>
      <c r="B304" s="54"/>
      <c r="C304" s="21">
        <f t="shared" si="54"/>
        <v>1</v>
      </c>
      <c r="D304" s="666"/>
      <c r="E304" s="21">
        <f t="shared" si="55"/>
        <v>0.03</v>
      </c>
      <c r="F304" s="666"/>
      <c r="G304" s="21">
        <f t="shared" si="56"/>
        <v>0</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664"/>
      <c r="B305" s="54"/>
      <c r="C305" s="21">
        <f t="shared" si="54"/>
        <v>1</v>
      </c>
      <c r="D305" s="666"/>
      <c r="E305" s="21">
        <f t="shared" si="55"/>
        <v>0.03</v>
      </c>
      <c r="F305" s="666"/>
      <c r="G305" s="21">
        <f t="shared" si="56"/>
        <v>0</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664"/>
      <c r="B306" s="54"/>
      <c r="C306" s="21">
        <f t="shared" si="54"/>
        <v>1</v>
      </c>
      <c r="D306" s="666"/>
      <c r="E306" s="21">
        <f t="shared" si="55"/>
        <v>0.03</v>
      </c>
      <c r="F306" s="666"/>
      <c r="G306" s="21">
        <f t="shared" si="56"/>
        <v>0</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664"/>
      <c r="B307" s="54"/>
      <c r="C307" s="21">
        <f t="shared" si="54"/>
        <v>1</v>
      </c>
      <c r="D307" s="666"/>
      <c r="E307" s="21">
        <f t="shared" si="55"/>
        <v>0.03</v>
      </c>
      <c r="F307" s="666"/>
      <c r="G307" s="21">
        <f t="shared" si="56"/>
        <v>0</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664"/>
      <c r="B308" s="54"/>
      <c r="C308" s="21">
        <f t="shared" si="54"/>
        <v>1</v>
      </c>
      <c r="D308" s="666"/>
      <c r="E308" s="21">
        <f t="shared" si="55"/>
        <v>0.03</v>
      </c>
      <c r="F308" s="666"/>
      <c r="G308" s="21">
        <f t="shared" si="56"/>
        <v>0</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664"/>
      <c r="B309" s="54"/>
      <c r="C309" s="21">
        <f t="shared" si="54"/>
        <v>1</v>
      </c>
      <c r="D309" s="666"/>
      <c r="E309" s="21">
        <f t="shared" si="55"/>
        <v>0.03</v>
      </c>
      <c r="F309" s="666"/>
      <c r="G309" s="21">
        <f t="shared" si="56"/>
        <v>0</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664"/>
      <c r="B310" s="54"/>
      <c r="C310" s="21">
        <f t="shared" si="54"/>
        <v>1</v>
      </c>
      <c r="D310" s="666"/>
      <c r="E310" s="21">
        <f t="shared" si="55"/>
        <v>0.03</v>
      </c>
      <c r="F310" s="666"/>
      <c r="G310" s="21">
        <f t="shared" si="56"/>
        <v>0</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664"/>
      <c r="B311" s="54"/>
      <c r="C311" s="21">
        <f t="shared" si="54"/>
        <v>1</v>
      </c>
      <c r="D311" s="666"/>
      <c r="E311" s="21">
        <f t="shared" si="55"/>
        <v>0.03</v>
      </c>
      <c r="F311" s="666"/>
      <c r="G311" s="21">
        <f t="shared" si="56"/>
        <v>0</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664"/>
      <c r="B312" s="54"/>
      <c r="C312" s="21">
        <f t="shared" si="54"/>
        <v>1</v>
      </c>
      <c r="D312" s="666"/>
      <c r="E312" s="21">
        <f t="shared" si="55"/>
        <v>0.03</v>
      </c>
      <c r="F312" s="666"/>
      <c r="G312" s="21">
        <f t="shared" si="56"/>
        <v>0</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664"/>
      <c r="B313" s="54"/>
      <c r="C313" s="21">
        <f t="shared" si="54"/>
        <v>1</v>
      </c>
      <c r="D313" s="666"/>
      <c r="E313" s="21">
        <f t="shared" si="55"/>
        <v>0.03</v>
      </c>
      <c r="F313" s="666"/>
      <c r="G313" s="21">
        <f t="shared" si="56"/>
        <v>0</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664"/>
      <c r="B314" s="54"/>
      <c r="C314" s="21">
        <f t="shared" si="54"/>
        <v>1</v>
      </c>
      <c r="D314" s="666"/>
      <c r="E314" s="21">
        <f t="shared" si="55"/>
        <v>0.03</v>
      </c>
      <c r="F314" s="666"/>
      <c r="G314" s="21">
        <f t="shared" si="56"/>
        <v>0</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664"/>
      <c r="B315" s="54"/>
      <c r="C315" s="21">
        <f t="shared" si="54"/>
        <v>1</v>
      </c>
      <c r="D315" s="666"/>
      <c r="E315" s="21">
        <f t="shared" si="55"/>
        <v>0.03</v>
      </c>
      <c r="F315" s="666"/>
      <c r="G315" s="21">
        <f t="shared" si="56"/>
        <v>0</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664"/>
      <c r="B316" s="54"/>
      <c r="C316" s="21">
        <f t="shared" si="54"/>
        <v>1</v>
      </c>
      <c r="D316" s="666"/>
      <c r="E316" s="21">
        <f t="shared" si="55"/>
        <v>0.03</v>
      </c>
      <c r="F316" s="666"/>
      <c r="G316" s="21">
        <f t="shared" si="56"/>
        <v>0</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664"/>
      <c r="B317" s="54"/>
      <c r="C317" s="21">
        <f t="shared" si="54"/>
        <v>1</v>
      </c>
      <c r="D317" s="666"/>
      <c r="E317" s="21">
        <f t="shared" si="55"/>
        <v>0.03</v>
      </c>
      <c r="F317" s="666"/>
      <c r="G317" s="21">
        <f t="shared" si="56"/>
        <v>0</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664"/>
      <c r="B318" s="54"/>
      <c r="C318" s="21">
        <f t="shared" si="54"/>
        <v>1</v>
      </c>
      <c r="D318" s="666"/>
      <c r="E318" s="21">
        <f t="shared" si="55"/>
        <v>0.03</v>
      </c>
      <c r="F318" s="666"/>
      <c r="G318" s="21">
        <f t="shared" si="56"/>
        <v>0</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664"/>
      <c r="B319" s="54"/>
      <c r="C319" s="21">
        <f t="shared" si="54"/>
        <v>1</v>
      </c>
      <c r="D319" s="666"/>
      <c r="E319" s="21">
        <f t="shared" si="55"/>
        <v>0.03</v>
      </c>
      <c r="F319" s="666"/>
      <c r="G319" s="21">
        <f t="shared" si="56"/>
        <v>0</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664"/>
      <c r="B320" s="54"/>
      <c r="C320" s="21">
        <f t="shared" si="54"/>
        <v>1</v>
      </c>
      <c r="D320" s="666"/>
      <c r="E320" s="21">
        <f t="shared" si="55"/>
        <v>0.03</v>
      </c>
      <c r="F320" s="666"/>
      <c r="G320" s="21">
        <f t="shared" si="56"/>
        <v>0</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664"/>
      <c r="B321" s="54"/>
      <c r="C321" s="21">
        <f t="shared" si="54"/>
        <v>1</v>
      </c>
      <c r="D321" s="666"/>
      <c r="E321" s="21">
        <f t="shared" si="55"/>
        <v>0.03</v>
      </c>
      <c r="F321" s="666"/>
      <c r="G321" s="21">
        <f t="shared" si="56"/>
        <v>0</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664"/>
      <c r="B322" s="54"/>
      <c r="C322" s="21">
        <f t="shared" si="54"/>
        <v>1</v>
      </c>
      <c r="D322" s="666"/>
      <c r="E322" s="21">
        <f t="shared" si="55"/>
        <v>0.03</v>
      </c>
      <c r="F322" s="666"/>
      <c r="G322" s="21">
        <f t="shared" si="56"/>
        <v>0</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664"/>
      <c r="B323" s="54"/>
      <c r="C323" s="21">
        <f t="shared" si="54"/>
        <v>1</v>
      </c>
      <c r="D323" s="666"/>
      <c r="E323" s="21">
        <f t="shared" si="55"/>
        <v>0.03</v>
      </c>
      <c r="F323" s="666"/>
      <c r="G323" s="21">
        <f t="shared" si="56"/>
        <v>0</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664"/>
      <c r="B324" s="54"/>
      <c r="C324" s="21">
        <f t="shared" si="54"/>
        <v>1</v>
      </c>
      <c r="D324" s="666"/>
      <c r="E324" s="21">
        <f t="shared" si="55"/>
        <v>0.03</v>
      </c>
      <c r="F324" s="666"/>
      <c r="G324" s="21">
        <f t="shared" si="56"/>
        <v>0</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664"/>
      <c r="B325" s="54"/>
      <c r="C325" s="21">
        <f t="shared" si="54"/>
        <v>1</v>
      </c>
      <c r="D325" s="666"/>
      <c r="E325" s="21">
        <f t="shared" si="55"/>
        <v>0.03</v>
      </c>
      <c r="F325" s="666"/>
      <c r="G325" s="21">
        <f t="shared" si="56"/>
        <v>0</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664"/>
      <c r="B326" s="54"/>
      <c r="C326" s="21">
        <f t="shared" si="54"/>
        <v>1</v>
      </c>
      <c r="D326" s="666"/>
      <c r="E326" s="21">
        <f t="shared" si="55"/>
        <v>0.03</v>
      </c>
      <c r="F326" s="666"/>
      <c r="G326" s="21">
        <f t="shared" si="56"/>
        <v>0</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664"/>
      <c r="B327" s="54"/>
      <c r="C327" s="21">
        <f t="shared" si="54"/>
        <v>1</v>
      </c>
      <c r="D327" s="666"/>
      <c r="E327" s="21">
        <f t="shared" si="55"/>
        <v>0.03</v>
      </c>
      <c r="F327" s="666"/>
      <c r="G327" s="21">
        <f t="shared" si="56"/>
        <v>0</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664"/>
      <c r="B328" s="54"/>
      <c r="C328" s="21">
        <f t="shared" si="54"/>
        <v>1</v>
      </c>
      <c r="D328" s="666"/>
      <c r="E328" s="21">
        <f t="shared" si="55"/>
        <v>0.03</v>
      </c>
      <c r="F328" s="666"/>
      <c r="G328" s="21">
        <f t="shared" si="56"/>
        <v>0</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664"/>
      <c r="B329" s="54"/>
      <c r="C329" s="21">
        <f t="shared" si="54"/>
        <v>1</v>
      </c>
      <c r="D329" s="666"/>
      <c r="E329" s="21">
        <f t="shared" si="55"/>
        <v>0.03</v>
      </c>
      <c r="F329" s="666"/>
      <c r="G329" s="21">
        <f t="shared" si="56"/>
        <v>0</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664"/>
      <c r="B330" s="54"/>
      <c r="C330" s="21">
        <f t="shared" si="54"/>
        <v>1</v>
      </c>
      <c r="D330" s="666"/>
      <c r="E330" s="21">
        <f t="shared" si="55"/>
        <v>0.03</v>
      </c>
      <c r="F330" s="666"/>
      <c r="G330" s="21">
        <f t="shared" si="56"/>
        <v>0</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664"/>
      <c r="B331" s="54"/>
      <c r="C331" s="21">
        <f t="shared" si="54"/>
        <v>1</v>
      </c>
      <c r="D331" s="666"/>
      <c r="E331" s="21">
        <f t="shared" si="55"/>
        <v>0.03</v>
      </c>
      <c r="F331" s="666"/>
      <c r="G331" s="21">
        <f t="shared" si="56"/>
        <v>0</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664"/>
      <c r="B332" s="54"/>
      <c r="C332" s="21">
        <f t="shared" si="54"/>
        <v>1</v>
      </c>
      <c r="D332" s="666"/>
      <c r="E332" s="21">
        <f t="shared" si="55"/>
        <v>0.03</v>
      </c>
      <c r="F332" s="666"/>
      <c r="G332" s="21">
        <f t="shared" si="56"/>
        <v>0</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664"/>
      <c r="B333" s="54"/>
      <c r="C333" s="21">
        <f t="shared" si="54"/>
        <v>1</v>
      </c>
      <c r="D333" s="666"/>
      <c r="E333" s="21">
        <f t="shared" si="55"/>
        <v>0.03</v>
      </c>
      <c r="F333" s="666"/>
      <c r="G333" s="21">
        <f t="shared" si="56"/>
        <v>0</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664"/>
      <c r="B334" s="54"/>
      <c r="C334" s="21">
        <f t="shared" si="54"/>
        <v>1</v>
      </c>
      <c r="D334" s="666"/>
      <c r="E334" s="21">
        <f t="shared" si="55"/>
        <v>0.03</v>
      </c>
      <c r="F334" s="666"/>
      <c r="G334" s="21">
        <f t="shared" si="56"/>
        <v>0</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664"/>
      <c r="B335" s="54"/>
      <c r="C335" s="21">
        <f t="shared" si="54"/>
        <v>1</v>
      </c>
      <c r="D335" s="666"/>
      <c r="E335" s="21">
        <f t="shared" si="55"/>
        <v>0.03</v>
      </c>
      <c r="F335" s="666"/>
      <c r="G335" s="21">
        <f t="shared" si="56"/>
        <v>0</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664"/>
      <c r="B336" s="54"/>
      <c r="C336" s="21">
        <f t="shared" si="54"/>
        <v>1</v>
      </c>
      <c r="D336" s="666"/>
      <c r="E336" s="21">
        <f t="shared" si="55"/>
        <v>0.03</v>
      </c>
      <c r="F336" s="666"/>
      <c r="G336" s="21">
        <f t="shared" si="56"/>
        <v>0</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664"/>
      <c r="B337" s="54"/>
      <c r="C337" s="21">
        <f t="shared" si="54"/>
        <v>1</v>
      </c>
      <c r="D337" s="666"/>
      <c r="E337" s="21">
        <f t="shared" si="55"/>
        <v>0.03</v>
      </c>
      <c r="F337" s="666"/>
      <c r="G337" s="21">
        <f t="shared" si="56"/>
        <v>0</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664"/>
      <c r="B338" s="54"/>
      <c r="C338" s="21">
        <f t="shared" si="54"/>
        <v>1</v>
      </c>
      <c r="D338" s="666"/>
      <c r="E338" s="21">
        <f t="shared" si="55"/>
        <v>0.03</v>
      </c>
      <c r="F338" s="666"/>
      <c r="G338" s="21">
        <f t="shared" si="56"/>
        <v>0</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664"/>
      <c r="B339" s="54"/>
      <c r="C339" s="21">
        <f t="shared" si="54"/>
        <v>1</v>
      </c>
      <c r="D339" s="666"/>
      <c r="E339" s="21">
        <f t="shared" si="55"/>
        <v>0.03</v>
      </c>
      <c r="F339" s="666"/>
      <c r="G339" s="21">
        <f t="shared" si="56"/>
        <v>0</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664"/>
      <c r="B340" s="54"/>
      <c r="C340" s="21">
        <f t="shared" si="54"/>
        <v>1</v>
      </c>
      <c r="D340" s="666"/>
      <c r="E340" s="21">
        <f t="shared" si="55"/>
        <v>0.03</v>
      </c>
      <c r="F340" s="666"/>
      <c r="G340" s="21">
        <f t="shared" si="56"/>
        <v>0</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664"/>
      <c r="B341" s="54"/>
      <c r="C341" s="21">
        <f t="shared" si="54"/>
        <v>1</v>
      </c>
      <c r="D341" s="666"/>
      <c r="E341" s="21">
        <f t="shared" si="55"/>
        <v>0.03</v>
      </c>
      <c r="F341" s="666"/>
      <c r="G341" s="21">
        <f t="shared" si="56"/>
        <v>0</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664"/>
      <c r="B342" s="54"/>
      <c r="C342" s="21">
        <f t="shared" si="54"/>
        <v>1</v>
      </c>
      <c r="D342" s="666"/>
      <c r="E342" s="21">
        <f t="shared" si="55"/>
        <v>0.03</v>
      </c>
      <c r="F342" s="666"/>
      <c r="G342" s="21">
        <f t="shared" si="56"/>
        <v>0</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664"/>
      <c r="B343" s="54"/>
      <c r="C343" s="21">
        <f t="shared" si="54"/>
        <v>1</v>
      </c>
      <c r="D343" s="666"/>
      <c r="E343" s="21">
        <f t="shared" si="55"/>
        <v>0.03</v>
      </c>
      <c r="F343" s="666"/>
      <c r="G343" s="21">
        <f t="shared" si="56"/>
        <v>0</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664"/>
      <c r="B344" s="54"/>
      <c r="C344" s="21">
        <f t="shared" si="54"/>
        <v>1</v>
      </c>
      <c r="D344" s="666"/>
      <c r="E344" s="21">
        <f t="shared" si="55"/>
        <v>0.03</v>
      </c>
      <c r="F344" s="666"/>
      <c r="G344" s="21">
        <f t="shared" si="56"/>
        <v>0</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664"/>
      <c r="B345" s="54"/>
      <c r="C345" s="21">
        <f t="shared" si="54"/>
        <v>1</v>
      </c>
      <c r="D345" s="666"/>
      <c r="E345" s="21">
        <f t="shared" si="55"/>
        <v>0.03</v>
      </c>
      <c r="F345" s="666"/>
      <c r="G345" s="21">
        <f t="shared" si="56"/>
        <v>0</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664"/>
      <c r="B346" s="54"/>
      <c r="C346" s="21">
        <f t="shared" ref="C346:C409" si="65">IF(B346="",1,(LOOKUP(B346,$3:$3,$4:$4)-LOOKUP($B$24,$3:$3,$4:$4)+100)/100)</f>
        <v>1</v>
      </c>
      <c r="D346" s="666"/>
      <c r="E346" s="21">
        <f t="shared" ref="E346:E409" si="66">(SUMIF($5:$5,D346,$6:$6)-SUMIF($5:$5,$D$24,$6:$6)+100)/100</f>
        <v>0.03</v>
      </c>
      <c r="F346" s="666"/>
      <c r="G346" s="21">
        <f t="shared" ref="G346:G409" si="67">(SUMIF($7:$7,F346,$8:$8)-SUMIF($7:$7,$F$24,$8:$8)+100)/100</f>
        <v>0</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664"/>
      <c r="B347" s="54"/>
      <c r="C347" s="21">
        <f t="shared" si="65"/>
        <v>1</v>
      </c>
      <c r="D347" s="666"/>
      <c r="E347" s="21">
        <f t="shared" si="66"/>
        <v>0.03</v>
      </c>
      <c r="F347" s="666"/>
      <c r="G347" s="21">
        <f t="shared" si="67"/>
        <v>0</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664"/>
      <c r="B348" s="54"/>
      <c r="C348" s="21">
        <f t="shared" si="65"/>
        <v>1</v>
      </c>
      <c r="D348" s="666"/>
      <c r="E348" s="21">
        <f t="shared" si="66"/>
        <v>0.03</v>
      </c>
      <c r="F348" s="666"/>
      <c r="G348" s="21">
        <f t="shared" si="67"/>
        <v>0</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664"/>
      <c r="B349" s="54"/>
      <c r="C349" s="21">
        <f t="shared" si="65"/>
        <v>1</v>
      </c>
      <c r="D349" s="666"/>
      <c r="E349" s="21">
        <f t="shared" si="66"/>
        <v>0.03</v>
      </c>
      <c r="F349" s="666"/>
      <c r="G349" s="21">
        <f t="shared" si="67"/>
        <v>0</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664"/>
      <c r="B350" s="54"/>
      <c r="C350" s="21">
        <f t="shared" si="65"/>
        <v>1</v>
      </c>
      <c r="D350" s="666"/>
      <c r="E350" s="21">
        <f t="shared" si="66"/>
        <v>0.03</v>
      </c>
      <c r="F350" s="666"/>
      <c r="G350" s="21">
        <f t="shared" si="67"/>
        <v>0</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664"/>
      <c r="B351" s="54"/>
      <c r="C351" s="21">
        <f t="shared" si="65"/>
        <v>1</v>
      </c>
      <c r="D351" s="666"/>
      <c r="E351" s="21">
        <f t="shared" si="66"/>
        <v>0.03</v>
      </c>
      <c r="F351" s="666"/>
      <c r="G351" s="21">
        <f t="shared" si="67"/>
        <v>0</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664"/>
      <c r="B352" s="54"/>
      <c r="C352" s="21">
        <f t="shared" si="65"/>
        <v>1</v>
      </c>
      <c r="D352" s="666"/>
      <c r="E352" s="21">
        <f t="shared" si="66"/>
        <v>0.03</v>
      </c>
      <c r="F352" s="666"/>
      <c r="G352" s="21">
        <f t="shared" si="67"/>
        <v>0</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664"/>
      <c r="B353" s="54"/>
      <c r="C353" s="21">
        <f t="shared" si="65"/>
        <v>1</v>
      </c>
      <c r="D353" s="666"/>
      <c r="E353" s="21">
        <f t="shared" si="66"/>
        <v>0.03</v>
      </c>
      <c r="F353" s="666"/>
      <c r="G353" s="21">
        <f t="shared" si="67"/>
        <v>0</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664"/>
      <c r="B354" s="54"/>
      <c r="C354" s="21">
        <f t="shared" si="65"/>
        <v>1</v>
      </c>
      <c r="D354" s="666"/>
      <c r="E354" s="21">
        <f t="shared" si="66"/>
        <v>0.03</v>
      </c>
      <c r="F354" s="666"/>
      <c r="G354" s="21">
        <f t="shared" si="67"/>
        <v>0</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664"/>
      <c r="B355" s="54"/>
      <c r="C355" s="21">
        <f t="shared" si="65"/>
        <v>1</v>
      </c>
      <c r="D355" s="666"/>
      <c r="E355" s="21">
        <f t="shared" si="66"/>
        <v>0.03</v>
      </c>
      <c r="F355" s="666"/>
      <c r="G355" s="21">
        <f t="shared" si="67"/>
        <v>0</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664"/>
      <c r="B356" s="54"/>
      <c r="C356" s="21">
        <f t="shared" si="65"/>
        <v>1</v>
      </c>
      <c r="D356" s="666"/>
      <c r="E356" s="21">
        <f t="shared" si="66"/>
        <v>0.03</v>
      </c>
      <c r="F356" s="666"/>
      <c r="G356" s="21">
        <f t="shared" si="67"/>
        <v>0</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664"/>
      <c r="B357" s="54"/>
      <c r="C357" s="21">
        <f t="shared" si="65"/>
        <v>1</v>
      </c>
      <c r="D357" s="666"/>
      <c r="E357" s="21">
        <f t="shared" si="66"/>
        <v>0.03</v>
      </c>
      <c r="F357" s="666"/>
      <c r="G357" s="21">
        <f t="shared" si="67"/>
        <v>0</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664"/>
      <c r="B358" s="54"/>
      <c r="C358" s="21">
        <f t="shared" si="65"/>
        <v>1</v>
      </c>
      <c r="D358" s="666"/>
      <c r="E358" s="21">
        <f t="shared" si="66"/>
        <v>0.03</v>
      </c>
      <c r="F358" s="666"/>
      <c r="G358" s="21">
        <f t="shared" si="67"/>
        <v>0</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664"/>
      <c r="B359" s="54"/>
      <c r="C359" s="21">
        <f t="shared" si="65"/>
        <v>1</v>
      </c>
      <c r="D359" s="666"/>
      <c r="E359" s="21">
        <f t="shared" si="66"/>
        <v>0.03</v>
      </c>
      <c r="F359" s="666"/>
      <c r="G359" s="21">
        <f t="shared" si="67"/>
        <v>0</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664"/>
      <c r="B360" s="54"/>
      <c r="C360" s="21">
        <f t="shared" si="65"/>
        <v>1</v>
      </c>
      <c r="D360" s="666"/>
      <c r="E360" s="21">
        <f t="shared" si="66"/>
        <v>0.03</v>
      </c>
      <c r="F360" s="666"/>
      <c r="G360" s="21">
        <f t="shared" si="67"/>
        <v>0</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664"/>
      <c r="B361" s="54"/>
      <c r="C361" s="21">
        <f t="shared" si="65"/>
        <v>1</v>
      </c>
      <c r="D361" s="666"/>
      <c r="E361" s="21">
        <f t="shared" si="66"/>
        <v>0.03</v>
      </c>
      <c r="F361" s="666"/>
      <c r="G361" s="21">
        <f t="shared" si="67"/>
        <v>0</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664"/>
      <c r="B362" s="54"/>
      <c r="C362" s="21">
        <f t="shared" si="65"/>
        <v>1</v>
      </c>
      <c r="D362" s="666"/>
      <c r="E362" s="21">
        <f t="shared" si="66"/>
        <v>0.03</v>
      </c>
      <c r="F362" s="666"/>
      <c r="G362" s="21">
        <f t="shared" si="67"/>
        <v>0</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664"/>
      <c r="B363" s="54"/>
      <c r="C363" s="21">
        <f t="shared" si="65"/>
        <v>1</v>
      </c>
      <c r="D363" s="666"/>
      <c r="E363" s="21">
        <f t="shared" si="66"/>
        <v>0.03</v>
      </c>
      <c r="F363" s="666"/>
      <c r="G363" s="21">
        <f t="shared" si="67"/>
        <v>0</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664"/>
      <c r="B364" s="54"/>
      <c r="C364" s="21">
        <f t="shared" si="65"/>
        <v>1</v>
      </c>
      <c r="D364" s="666"/>
      <c r="E364" s="21">
        <f t="shared" si="66"/>
        <v>0.03</v>
      </c>
      <c r="F364" s="666"/>
      <c r="G364" s="21">
        <f t="shared" si="67"/>
        <v>0</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664"/>
      <c r="B365" s="54"/>
      <c r="C365" s="21">
        <f t="shared" si="65"/>
        <v>1</v>
      </c>
      <c r="D365" s="666"/>
      <c r="E365" s="21">
        <f t="shared" si="66"/>
        <v>0.03</v>
      </c>
      <c r="F365" s="666"/>
      <c r="G365" s="21">
        <f t="shared" si="67"/>
        <v>0</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664"/>
      <c r="B366" s="54"/>
      <c r="C366" s="21">
        <f t="shared" si="65"/>
        <v>1</v>
      </c>
      <c r="D366" s="666"/>
      <c r="E366" s="21">
        <f t="shared" si="66"/>
        <v>0.03</v>
      </c>
      <c r="F366" s="666"/>
      <c r="G366" s="21">
        <f t="shared" si="67"/>
        <v>0</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664"/>
      <c r="B367" s="54"/>
      <c r="C367" s="21">
        <f t="shared" si="65"/>
        <v>1</v>
      </c>
      <c r="D367" s="666"/>
      <c r="E367" s="21">
        <f t="shared" si="66"/>
        <v>0.03</v>
      </c>
      <c r="F367" s="666"/>
      <c r="G367" s="21">
        <f t="shared" si="67"/>
        <v>0</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664"/>
      <c r="B368" s="54"/>
      <c r="C368" s="21">
        <f t="shared" si="65"/>
        <v>1</v>
      </c>
      <c r="D368" s="666"/>
      <c r="E368" s="21">
        <f t="shared" si="66"/>
        <v>0.03</v>
      </c>
      <c r="F368" s="666"/>
      <c r="G368" s="21">
        <f t="shared" si="67"/>
        <v>0</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664"/>
      <c r="B369" s="54"/>
      <c r="C369" s="21">
        <f t="shared" si="65"/>
        <v>1</v>
      </c>
      <c r="D369" s="666"/>
      <c r="E369" s="21">
        <f t="shared" si="66"/>
        <v>0.03</v>
      </c>
      <c r="F369" s="666"/>
      <c r="G369" s="21">
        <f t="shared" si="67"/>
        <v>0</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664"/>
      <c r="B370" s="54"/>
      <c r="C370" s="21">
        <f t="shared" si="65"/>
        <v>1</v>
      </c>
      <c r="D370" s="666"/>
      <c r="E370" s="21">
        <f t="shared" si="66"/>
        <v>0.03</v>
      </c>
      <c r="F370" s="666"/>
      <c r="G370" s="21">
        <f t="shared" si="67"/>
        <v>0</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664"/>
      <c r="B371" s="54"/>
      <c r="C371" s="21">
        <f t="shared" si="65"/>
        <v>1</v>
      </c>
      <c r="D371" s="666"/>
      <c r="E371" s="21">
        <f t="shared" si="66"/>
        <v>0.03</v>
      </c>
      <c r="F371" s="666"/>
      <c r="G371" s="21">
        <f t="shared" si="67"/>
        <v>0</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664"/>
      <c r="B372" s="54"/>
      <c r="C372" s="21">
        <f t="shared" si="65"/>
        <v>1</v>
      </c>
      <c r="D372" s="666"/>
      <c r="E372" s="21">
        <f t="shared" si="66"/>
        <v>0.03</v>
      </c>
      <c r="F372" s="666"/>
      <c r="G372" s="21">
        <f t="shared" si="67"/>
        <v>0</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664"/>
      <c r="B373" s="54"/>
      <c r="C373" s="21">
        <f t="shared" si="65"/>
        <v>1</v>
      </c>
      <c r="D373" s="666"/>
      <c r="E373" s="21">
        <f t="shared" si="66"/>
        <v>0.03</v>
      </c>
      <c r="F373" s="666"/>
      <c r="G373" s="21">
        <f t="shared" si="67"/>
        <v>0</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664"/>
      <c r="B374" s="54"/>
      <c r="C374" s="21">
        <f t="shared" si="65"/>
        <v>1</v>
      </c>
      <c r="D374" s="666"/>
      <c r="E374" s="21">
        <f t="shared" si="66"/>
        <v>0.03</v>
      </c>
      <c r="F374" s="666"/>
      <c r="G374" s="21">
        <f t="shared" si="67"/>
        <v>0</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664"/>
      <c r="B375" s="54"/>
      <c r="C375" s="21">
        <f t="shared" si="65"/>
        <v>1</v>
      </c>
      <c r="D375" s="666"/>
      <c r="E375" s="21">
        <f t="shared" si="66"/>
        <v>0.03</v>
      </c>
      <c r="F375" s="666"/>
      <c r="G375" s="21">
        <f t="shared" si="67"/>
        <v>0</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664"/>
      <c r="B376" s="54"/>
      <c r="C376" s="21">
        <f t="shared" si="65"/>
        <v>1</v>
      </c>
      <c r="D376" s="666"/>
      <c r="E376" s="21">
        <f t="shared" si="66"/>
        <v>0.03</v>
      </c>
      <c r="F376" s="666"/>
      <c r="G376" s="21">
        <f t="shared" si="67"/>
        <v>0</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664"/>
      <c r="B377" s="54"/>
      <c r="C377" s="21">
        <f t="shared" si="65"/>
        <v>1</v>
      </c>
      <c r="D377" s="666"/>
      <c r="E377" s="21">
        <f t="shared" si="66"/>
        <v>0.03</v>
      </c>
      <c r="F377" s="666"/>
      <c r="G377" s="21">
        <f t="shared" si="67"/>
        <v>0</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664"/>
      <c r="B378" s="54"/>
      <c r="C378" s="21">
        <f t="shared" si="65"/>
        <v>1</v>
      </c>
      <c r="D378" s="666"/>
      <c r="E378" s="21">
        <f t="shared" si="66"/>
        <v>0.03</v>
      </c>
      <c r="F378" s="666"/>
      <c r="G378" s="21">
        <f t="shared" si="67"/>
        <v>0</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664"/>
      <c r="B379" s="54"/>
      <c r="C379" s="21">
        <f t="shared" si="65"/>
        <v>1</v>
      </c>
      <c r="D379" s="666"/>
      <c r="E379" s="21">
        <f t="shared" si="66"/>
        <v>0.03</v>
      </c>
      <c r="F379" s="666"/>
      <c r="G379" s="21">
        <f t="shared" si="67"/>
        <v>0</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664"/>
      <c r="B380" s="54"/>
      <c r="C380" s="21">
        <f t="shared" si="65"/>
        <v>1</v>
      </c>
      <c r="D380" s="666"/>
      <c r="E380" s="21">
        <f t="shared" si="66"/>
        <v>0.03</v>
      </c>
      <c r="F380" s="666"/>
      <c r="G380" s="21">
        <f t="shared" si="67"/>
        <v>0</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664"/>
      <c r="B381" s="54"/>
      <c r="C381" s="21">
        <f t="shared" si="65"/>
        <v>1</v>
      </c>
      <c r="D381" s="666"/>
      <c r="E381" s="21">
        <f t="shared" si="66"/>
        <v>0.03</v>
      </c>
      <c r="F381" s="666"/>
      <c r="G381" s="21">
        <f t="shared" si="67"/>
        <v>0</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664"/>
      <c r="B382" s="54"/>
      <c r="C382" s="21">
        <f t="shared" si="65"/>
        <v>1</v>
      </c>
      <c r="D382" s="666"/>
      <c r="E382" s="21">
        <f t="shared" si="66"/>
        <v>0.03</v>
      </c>
      <c r="F382" s="666"/>
      <c r="G382" s="21">
        <f t="shared" si="67"/>
        <v>0</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664"/>
      <c r="B383" s="54"/>
      <c r="C383" s="21">
        <f t="shared" si="65"/>
        <v>1</v>
      </c>
      <c r="D383" s="666"/>
      <c r="E383" s="21">
        <f t="shared" si="66"/>
        <v>0.03</v>
      </c>
      <c r="F383" s="666"/>
      <c r="G383" s="21">
        <f t="shared" si="67"/>
        <v>0</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664"/>
      <c r="B384" s="54"/>
      <c r="C384" s="21">
        <f t="shared" si="65"/>
        <v>1</v>
      </c>
      <c r="D384" s="666"/>
      <c r="E384" s="21">
        <f t="shared" si="66"/>
        <v>0.03</v>
      </c>
      <c r="F384" s="666"/>
      <c r="G384" s="21">
        <f t="shared" si="67"/>
        <v>0</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664"/>
      <c r="B385" s="54"/>
      <c r="C385" s="21">
        <f t="shared" si="65"/>
        <v>1</v>
      </c>
      <c r="D385" s="666"/>
      <c r="E385" s="21">
        <f t="shared" si="66"/>
        <v>0.03</v>
      </c>
      <c r="F385" s="666"/>
      <c r="G385" s="21">
        <f t="shared" si="67"/>
        <v>0</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664"/>
      <c r="B386" s="54"/>
      <c r="C386" s="21">
        <f t="shared" si="65"/>
        <v>1</v>
      </c>
      <c r="D386" s="666"/>
      <c r="E386" s="21">
        <f t="shared" si="66"/>
        <v>0.03</v>
      </c>
      <c r="F386" s="666"/>
      <c r="G386" s="21">
        <f t="shared" si="67"/>
        <v>0</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664"/>
      <c r="B387" s="54"/>
      <c r="C387" s="21">
        <f t="shared" si="65"/>
        <v>1</v>
      </c>
      <c r="D387" s="666"/>
      <c r="E387" s="21">
        <f t="shared" si="66"/>
        <v>0.03</v>
      </c>
      <c r="F387" s="666"/>
      <c r="G387" s="21">
        <f t="shared" si="67"/>
        <v>0</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664"/>
      <c r="B388" s="54"/>
      <c r="C388" s="21">
        <f t="shared" si="65"/>
        <v>1</v>
      </c>
      <c r="D388" s="666"/>
      <c r="E388" s="21">
        <f t="shared" si="66"/>
        <v>0.03</v>
      </c>
      <c r="F388" s="666"/>
      <c r="G388" s="21">
        <f t="shared" si="67"/>
        <v>0</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664"/>
      <c r="B389" s="54"/>
      <c r="C389" s="21">
        <f t="shared" si="65"/>
        <v>1</v>
      </c>
      <c r="D389" s="666"/>
      <c r="E389" s="21">
        <f t="shared" si="66"/>
        <v>0.03</v>
      </c>
      <c r="F389" s="666"/>
      <c r="G389" s="21">
        <f t="shared" si="67"/>
        <v>0</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664"/>
      <c r="B390" s="54"/>
      <c r="C390" s="21">
        <f t="shared" si="65"/>
        <v>1</v>
      </c>
      <c r="D390" s="666"/>
      <c r="E390" s="21">
        <f t="shared" si="66"/>
        <v>0.03</v>
      </c>
      <c r="F390" s="666"/>
      <c r="G390" s="21">
        <f t="shared" si="67"/>
        <v>0</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664"/>
      <c r="B391" s="54"/>
      <c r="C391" s="21">
        <f t="shared" si="65"/>
        <v>1</v>
      </c>
      <c r="D391" s="666"/>
      <c r="E391" s="21">
        <f t="shared" si="66"/>
        <v>0.03</v>
      </c>
      <c r="F391" s="666"/>
      <c r="G391" s="21">
        <f t="shared" si="67"/>
        <v>0</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664"/>
      <c r="B392" s="54"/>
      <c r="C392" s="21">
        <f t="shared" si="65"/>
        <v>1</v>
      </c>
      <c r="D392" s="666"/>
      <c r="E392" s="21">
        <f t="shared" si="66"/>
        <v>0.03</v>
      </c>
      <c r="F392" s="666"/>
      <c r="G392" s="21">
        <f t="shared" si="67"/>
        <v>0</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664"/>
      <c r="B393" s="54"/>
      <c r="C393" s="21">
        <f t="shared" si="65"/>
        <v>1</v>
      </c>
      <c r="D393" s="666"/>
      <c r="E393" s="21">
        <f t="shared" si="66"/>
        <v>0.03</v>
      </c>
      <c r="F393" s="666"/>
      <c r="G393" s="21">
        <f t="shared" si="67"/>
        <v>0</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664"/>
      <c r="B394" s="54"/>
      <c r="C394" s="21">
        <f t="shared" si="65"/>
        <v>1</v>
      </c>
      <c r="D394" s="666"/>
      <c r="E394" s="21">
        <f t="shared" si="66"/>
        <v>0.03</v>
      </c>
      <c r="F394" s="666"/>
      <c r="G394" s="21">
        <f t="shared" si="67"/>
        <v>0</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664"/>
      <c r="B395" s="54"/>
      <c r="C395" s="21">
        <f t="shared" si="65"/>
        <v>1</v>
      </c>
      <c r="D395" s="666"/>
      <c r="E395" s="21">
        <f t="shared" si="66"/>
        <v>0.03</v>
      </c>
      <c r="F395" s="666"/>
      <c r="G395" s="21">
        <f t="shared" si="67"/>
        <v>0</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664"/>
      <c r="B396" s="54"/>
      <c r="C396" s="21">
        <f t="shared" si="65"/>
        <v>1</v>
      </c>
      <c r="D396" s="666"/>
      <c r="E396" s="21">
        <f t="shared" si="66"/>
        <v>0.03</v>
      </c>
      <c r="F396" s="666"/>
      <c r="G396" s="21">
        <f t="shared" si="67"/>
        <v>0</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664"/>
      <c r="B397" s="54"/>
      <c r="C397" s="21">
        <f t="shared" si="65"/>
        <v>1</v>
      </c>
      <c r="D397" s="666"/>
      <c r="E397" s="21">
        <f t="shared" si="66"/>
        <v>0.03</v>
      </c>
      <c r="F397" s="666"/>
      <c r="G397" s="21">
        <f t="shared" si="67"/>
        <v>0</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664"/>
      <c r="B398" s="54"/>
      <c r="C398" s="21">
        <f t="shared" si="65"/>
        <v>1</v>
      </c>
      <c r="D398" s="666"/>
      <c r="E398" s="21">
        <f t="shared" si="66"/>
        <v>0.03</v>
      </c>
      <c r="F398" s="666"/>
      <c r="G398" s="21">
        <f t="shared" si="67"/>
        <v>0</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664"/>
      <c r="B399" s="54"/>
      <c r="C399" s="21">
        <f t="shared" si="65"/>
        <v>1</v>
      </c>
      <c r="D399" s="666"/>
      <c r="E399" s="21">
        <f t="shared" si="66"/>
        <v>0.03</v>
      </c>
      <c r="F399" s="666"/>
      <c r="G399" s="21">
        <f t="shared" si="67"/>
        <v>0</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664"/>
      <c r="B400" s="54"/>
      <c r="C400" s="21">
        <f t="shared" si="65"/>
        <v>1</v>
      </c>
      <c r="D400" s="666"/>
      <c r="E400" s="21">
        <f t="shared" si="66"/>
        <v>0.03</v>
      </c>
      <c r="F400" s="666"/>
      <c r="G400" s="21">
        <f t="shared" si="67"/>
        <v>0</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664"/>
      <c r="B401" s="54"/>
      <c r="C401" s="21">
        <f t="shared" si="65"/>
        <v>1</v>
      </c>
      <c r="D401" s="666"/>
      <c r="E401" s="21">
        <f t="shared" si="66"/>
        <v>0.03</v>
      </c>
      <c r="F401" s="666"/>
      <c r="G401" s="21">
        <f t="shared" si="67"/>
        <v>0</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664"/>
      <c r="B402" s="54"/>
      <c r="C402" s="21">
        <f t="shared" si="65"/>
        <v>1</v>
      </c>
      <c r="D402" s="666"/>
      <c r="E402" s="21">
        <f t="shared" si="66"/>
        <v>0.03</v>
      </c>
      <c r="F402" s="666"/>
      <c r="G402" s="21">
        <f t="shared" si="67"/>
        <v>0</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664"/>
      <c r="B403" s="54"/>
      <c r="C403" s="21">
        <f t="shared" si="65"/>
        <v>1</v>
      </c>
      <c r="D403" s="666"/>
      <c r="E403" s="21">
        <f t="shared" si="66"/>
        <v>0.03</v>
      </c>
      <c r="F403" s="666"/>
      <c r="G403" s="21">
        <f t="shared" si="67"/>
        <v>0</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664"/>
      <c r="B404" s="54"/>
      <c r="C404" s="21">
        <f t="shared" si="65"/>
        <v>1</v>
      </c>
      <c r="D404" s="666"/>
      <c r="E404" s="21">
        <f t="shared" si="66"/>
        <v>0.03</v>
      </c>
      <c r="F404" s="666"/>
      <c r="G404" s="21">
        <f t="shared" si="67"/>
        <v>0</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664"/>
      <c r="B405" s="54"/>
      <c r="C405" s="21">
        <f t="shared" si="65"/>
        <v>1</v>
      </c>
      <c r="D405" s="666"/>
      <c r="E405" s="21">
        <f t="shared" si="66"/>
        <v>0.03</v>
      </c>
      <c r="F405" s="666"/>
      <c r="G405" s="21">
        <f t="shared" si="67"/>
        <v>0</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664"/>
      <c r="B406" s="54"/>
      <c r="C406" s="21">
        <f t="shared" si="65"/>
        <v>1</v>
      </c>
      <c r="D406" s="666"/>
      <c r="E406" s="21">
        <f t="shared" si="66"/>
        <v>0.03</v>
      </c>
      <c r="F406" s="666"/>
      <c r="G406" s="21">
        <f t="shared" si="67"/>
        <v>0</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664"/>
      <c r="B407" s="54"/>
      <c r="C407" s="21">
        <f t="shared" si="65"/>
        <v>1</v>
      </c>
      <c r="D407" s="666"/>
      <c r="E407" s="21">
        <f t="shared" si="66"/>
        <v>0.03</v>
      </c>
      <c r="F407" s="666"/>
      <c r="G407" s="21">
        <f t="shared" si="67"/>
        <v>0</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664"/>
      <c r="B408" s="54"/>
      <c r="C408" s="21">
        <f t="shared" si="65"/>
        <v>1</v>
      </c>
      <c r="D408" s="666"/>
      <c r="E408" s="21">
        <f t="shared" si="66"/>
        <v>0.03</v>
      </c>
      <c r="F408" s="666"/>
      <c r="G408" s="21">
        <f t="shared" si="67"/>
        <v>0</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664"/>
      <c r="B409" s="54"/>
      <c r="C409" s="21">
        <f t="shared" si="65"/>
        <v>1</v>
      </c>
      <c r="D409" s="666"/>
      <c r="E409" s="21">
        <f t="shared" si="66"/>
        <v>0.03</v>
      </c>
      <c r="F409" s="666"/>
      <c r="G409" s="21">
        <f t="shared" si="67"/>
        <v>0</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664"/>
      <c r="B410" s="54"/>
      <c r="C410" s="21">
        <f t="shared" ref="C410:C473" si="75">IF(B410="",1,(LOOKUP(B410,$3:$3,$4:$4)-LOOKUP($B$24,$3:$3,$4:$4)+100)/100)</f>
        <v>1</v>
      </c>
      <c r="D410" s="666"/>
      <c r="E410" s="21">
        <f t="shared" ref="E410:E473" si="76">(SUMIF($5:$5,D410,$6:$6)-SUMIF($5:$5,$D$24,$6:$6)+100)/100</f>
        <v>0.03</v>
      </c>
      <c r="F410" s="666"/>
      <c r="G410" s="21">
        <f t="shared" ref="G410:G473" si="77">(SUMIF($7:$7,F410,$8:$8)-SUMIF($7:$7,$F$24,$8:$8)+100)/100</f>
        <v>0</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664"/>
      <c r="B411" s="54"/>
      <c r="C411" s="21">
        <f t="shared" si="75"/>
        <v>1</v>
      </c>
      <c r="D411" s="666"/>
      <c r="E411" s="21">
        <f t="shared" si="76"/>
        <v>0.03</v>
      </c>
      <c r="F411" s="666"/>
      <c r="G411" s="21">
        <f t="shared" si="77"/>
        <v>0</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664"/>
      <c r="B412" s="54"/>
      <c r="C412" s="21">
        <f t="shared" si="75"/>
        <v>1</v>
      </c>
      <c r="D412" s="666"/>
      <c r="E412" s="21">
        <f t="shared" si="76"/>
        <v>0.03</v>
      </c>
      <c r="F412" s="666"/>
      <c r="G412" s="21">
        <f t="shared" si="77"/>
        <v>0</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664"/>
      <c r="B413" s="54"/>
      <c r="C413" s="21">
        <f t="shared" si="75"/>
        <v>1</v>
      </c>
      <c r="D413" s="666"/>
      <c r="E413" s="21">
        <f t="shared" si="76"/>
        <v>0.03</v>
      </c>
      <c r="F413" s="666"/>
      <c r="G413" s="21">
        <f t="shared" si="77"/>
        <v>0</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664"/>
      <c r="B414" s="54"/>
      <c r="C414" s="21">
        <f t="shared" si="75"/>
        <v>1</v>
      </c>
      <c r="D414" s="666"/>
      <c r="E414" s="21">
        <f t="shared" si="76"/>
        <v>0.03</v>
      </c>
      <c r="F414" s="666"/>
      <c r="G414" s="21">
        <f t="shared" si="77"/>
        <v>0</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664"/>
      <c r="B415" s="54"/>
      <c r="C415" s="21">
        <f t="shared" si="75"/>
        <v>1</v>
      </c>
      <c r="D415" s="666"/>
      <c r="E415" s="21">
        <f t="shared" si="76"/>
        <v>0.03</v>
      </c>
      <c r="F415" s="666"/>
      <c r="G415" s="21">
        <f t="shared" si="77"/>
        <v>0</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664"/>
      <c r="B416" s="54"/>
      <c r="C416" s="21">
        <f t="shared" si="75"/>
        <v>1</v>
      </c>
      <c r="D416" s="666"/>
      <c r="E416" s="21">
        <f t="shared" si="76"/>
        <v>0.03</v>
      </c>
      <c r="F416" s="666"/>
      <c r="G416" s="21">
        <f t="shared" si="77"/>
        <v>0</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664"/>
      <c r="B417" s="54"/>
      <c r="C417" s="21">
        <f t="shared" si="75"/>
        <v>1</v>
      </c>
      <c r="D417" s="666"/>
      <c r="E417" s="21">
        <f t="shared" si="76"/>
        <v>0.03</v>
      </c>
      <c r="F417" s="666"/>
      <c r="G417" s="21">
        <f t="shared" si="77"/>
        <v>0</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664"/>
      <c r="B418" s="54"/>
      <c r="C418" s="21">
        <f t="shared" si="75"/>
        <v>1</v>
      </c>
      <c r="D418" s="666"/>
      <c r="E418" s="21">
        <f t="shared" si="76"/>
        <v>0.03</v>
      </c>
      <c r="F418" s="666"/>
      <c r="G418" s="21">
        <f t="shared" si="77"/>
        <v>0</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664"/>
      <c r="B419" s="54"/>
      <c r="C419" s="21">
        <f t="shared" si="75"/>
        <v>1</v>
      </c>
      <c r="D419" s="666"/>
      <c r="E419" s="21">
        <f t="shared" si="76"/>
        <v>0.03</v>
      </c>
      <c r="F419" s="666"/>
      <c r="G419" s="21">
        <f t="shared" si="77"/>
        <v>0</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664"/>
      <c r="B420" s="54"/>
      <c r="C420" s="21">
        <f t="shared" si="75"/>
        <v>1</v>
      </c>
      <c r="D420" s="666"/>
      <c r="E420" s="21">
        <f t="shared" si="76"/>
        <v>0.03</v>
      </c>
      <c r="F420" s="666"/>
      <c r="G420" s="21">
        <f t="shared" si="77"/>
        <v>0</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664"/>
      <c r="B421" s="54"/>
      <c r="C421" s="21">
        <f t="shared" si="75"/>
        <v>1</v>
      </c>
      <c r="D421" s="666"/>
      <c r="E421" s="21">
        <f t="shared" si="76"/>
        <v>0.03</v>
      </c>
      <c r="F421" s="666"/>
      <c r="G421" s="21">
        <f t="shared" si="77"/>
        <v>0</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664"/>
      <c r="B422" s="54"/>
      <c r="C422" s="21">
        <f t="shared" si="75"/>
        <v>1</v>
      </c>
      <c r="D422" s="666"/>
      <c r="E422" s="21">
        <f t="shared" si="76"/>
        <v>0.03</v>
      </c>
      <c r="F422" s="666"/>
      <c r="G422" s="21">
        <f t="shared" si="77"/>
        <v>0</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664"/>
      <c r="B423" s="54"/>
      <c r="C423" s="21">
        <f t="shared" si="75"/>
        <v>1</v>
      </c>
      <c r="D423" s="666"/>
      <c r="E423" s="21">
        <f t="shared" si="76"/>
        <v>0.03</v>
      </c>
      <c r="F423" s="666"/>
      <c r="G423" s="21">
        <f t="shared" si="77"/>
        <v>0</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664"/>
      <c r="B424" s="54"/>
      <c r="C424" s="21">
        <f t="shared" si="75"/>
        <v>1</v>
      </c>
      <c r="D424" s="666"/>
      <c r="E424" s="21">
        <f t="shared" si="76"/>
        <v>0.03</v>
      </c>
      <c r="F424" s="666"/>
      <c r="G424" s="21">
        <f t="shared" si="77"/>
        <v>0</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664"/>
      <c r="B425" s="54"/>
      <c r="C425" s="21">
        <f t="shared" si="75"/>
        <v>1</v>
      </c>
      <c r="D425" s="666"/>
      <c r="E425" s="21">
        <f t="shared" si="76"/>
        <v>0.03</v>
      </c>
      <c r="F425" s="666"/>
      <c r="G425" s="21">
        <f t="shared" si="77"/>
        <v>0</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664"/>
      <c r="B426" s="54"/>
      <c r="C426" s="21">
        <f t="shared" si="75"/>
        <v>1</v>
      </c>
      <c r="D426" s="666"/>
      <c r="E426" s="21">
        <f t="shared" si="76"/>
        <v>0.03</v>
      </c>
      <c r="F426" s="666"/>
      <c r="G426" s="21">
        <f t="shared" si="77"/>
        <v>0</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664"/>
      <c r="B427" s="54"/>
      <c r="C427" s="21">
        <f t="shared" si="75"/>
        <v>1</v>
      </c>
      <c r="D427" s="666"/>
      <c r="E427" s="21">
        <f t="shared" si="76"/>
        <v>0.03</v>
      </c>
      <c r="F427" s="666"/>
      <c r="G427" s="21">
        <f t="shared" si="77"/>
        <v>0</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664"/>
      <c r="B428" s="54"/>
      <c r="C428" s="21">
        <f t="shared" si="75"/>
        <v>1</v>
      </c>
      <c r="D428" s="666"/>
      <c r="E428" s="21">
        <f t="shared" si="76"/>
        <v>0.03</v>
      </c>
      <c r="F428" s="666"/>
      <c r="G428" s="21">
        <f t="shared" si="77"/>
        <v>0</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664"/>
      <c r="B429" s="54"/>
      <c r="C429" s="21">
        <f t="shared" si="75"/>
        <v>1</v>
      </c>
      <c r="D429" s="666"/>
      <c r="E429" s="21">
        <f t="shared" si="76"/>
        <v>0.03</v>
      </c>
      <c r="F429" s="666"/>
      <c r="G429" s="21">
        <f t="shared" si="77"/>
        <v>0</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664"/>
      <c r="B430" s="54"/>
      <c r="C430" s="21">
        <f t="shared" si="75"/>
        <v>1</v>
      </c>
      <c r="D430" s="666"/>
      <c r="E430" s="21">
        <f t="shared" si="76"/>
        <v>0.03</v>
      </c>
      <c r="F430" s="666"/>
      <c r="G430" s="21">
        <f t="shared" si="77"/>
        <v>0</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664"/>
      <c r="B431" s="54"/>
      <c r="C431" s="21">
        <f t="shared" si="75"/>
        <v>1</v>
      </c>
      <c r="D431" s="666"/>
      <c r="E431" s="21">
        <f t="shared" si="76"/>
        <v>0.03</v>
      </c>
      <c r="F431" s="666"/>
      <c r="G431" s="21">
        <f t="shared" si="77"/>
        <v>0</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664"/>
      <c r="B432" s="54"/>
      <c r="C432" s="21">
        <f t="shared" si="75"/>
        <v>1</v>
      </c>
      <c r="D432" s="666"/>
      <c r="E432" s="21">
        <f t="shared" si="76"/>
        <v>0.03</v>
      </c>
      <c r="F432" s="666"/>
      <c r="G432" s="21">
        <f t="shared" si="77"/>
        <v>0</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664"/>
      <c r="B433" s="54"/>
      <c r="C433" s="21">
        <f t="shared" si="75"/>
        <v>1</v>
      </c>
      <c r="D433" s="666"/>
      <c r="E433" s="21">
        <f t="shared" si="76"/>
        <v>0.03</v>
      </c>
      <c r="F433" s="666"/>
      <c r="G433" s="21">
        <f t="shared" si="77"/>
        <v>0</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664"/>
      <c r="B434" s="54"/>
      <c r="C434" s="21">
        <f t="shared" si="75"/>
        <v>1</v>
      </c>
      <c r="D434" s="666"/>
      <c r="E434" s="21">
        <f t="shared" si="76"/>
        <v>0.03</v>
      </c>
      <c r="F434" s="666"/>
      <c r="G434" s="21">
        <f t="shared" si="77"/>
        <v>0</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664"/>
      <c r="B435" s="54"/>
      <c r="C435" s="21">
        <f t="shared" si="75"/>
        <v>1</v>
      </c>
      <c r="D435" s="666"/>
      <c r="E435" s="21">
        <f t="shared" si="76"/>
        <v>0.03</v>
      </c>
      <c r="F435" s="666"/>
      <c r="G435" s="21">
        <f t="shared" si="77"/>
        <v>0</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664"/>
      <c r="B436" s="54"/>
      <c r="C436" s="21">
        <f t="shared" si="75"/>
        <v>1</v>
      </c>
      <c r="D436" s="666"/>
      <c r="E436" s="21">
        <f t="shared" si="76"/>
        <v>0.03</v>
      </c>
      <c r="F436" s="666"/>
      <c r="G436" s="21">
        <f t="shared" si="77"/>
        <v>0</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664"/>
      <c r="B437" s="54"/>
      <c r="C437" s="21">
        <f t="shared" si="75"/>
        <v>1</v>
      </c>
      <c r="D437" s="666"/>
      <c r="E437" s="21">
        <f t="shared" si="76"/>
        <v>0.03</v>
      </c>
      <c r="F437" s="666"/>
      <c r="G437" s="21">
        <f t="shared" si="77"/>
        <v>0</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664"/>
      <c r="B438" s="54"/>
      <c r="C438" s="21">
        <f t="shared" si="75"/>
        <v>1</v>
      </c>
      <c r="D438" s="666"/>
      <c r="E438" s="21">
        <f t="shared" si="76"/>
        <v>0.03</v>
      </c>
      <c r="F438" s="666"/>
      <c r="G438" s="21">
        <f t="shared" si="77"/>
        <v>0</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664"/>
      <c r="B439" s="54"/>
      <c r="C439" s="21">
        <f t="shared" si="75"/>
        <v>1</v>
      </c>
      <c r="D439" s="666"/>
      <c r="E439" s="21">
        <f t="shared" si="76"/>
        <v>0.03</v>
      </c>
      <c r="F439" s="666"/>
      <c r="G439" s="21">
        <f t="shared" si="77"/>
        <v>0</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664"/>
      <c r="B440" s="54"/>
      <c r="C440" s="21">
        <f t="shared" si="75"/>
        <v>1</v>
      </c>
      <c r="D440" s="666"/>
      <c r="E440" s="21">
        <f t="shared" si="76"/>
        <v>0.03</v>
      </c>
      <c r="F440" s="666"/>
      <c r="G440" s="21">
        <f t="shared" si="77"/>
        <v>0</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664"/>
      <c r="B441" s="54"/>
      <c r="C441" s="21">
        <f t="shared" si="75"/>
        <v>1</v>
      </c>
      <c r="D441" s="666"/>
      <c r="E441" s="21">
        <f t="shared" si="76"/>
        <v>0.03</v>
      </c>
      <c r="F441" s="666"/>
      <c r="G441" s="21">
        <f t="shared" si="77"/>
        <v>0</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0.03</v>
      </c>
      <c r="F442" s="666"/>
      <c r="G442" s="21">
        <f t="shared" si="77"/>
        <v>0</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0.03</v>
      </c>
      <c r="F443" s="666"/>
      <c r="G443" s="21">
        <f t="shared" si="77"/>
        <v>0</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0.03</v>
      </c>
      <c r="F444" s="666"/>
      <c r="G444" s="21">
        <f t="shared" si="77"/>
        <v>0</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0.03</v>
      </c>
      <c r="F445" s="666"/>
      <c r="G445" s="21">
        <f t="shared" si="77"/>
        <v>0</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0.03</v>
      </c>
      <c r="F446" s="666"/>
      <c r="G446" s="21">
        <f t="shared" si="77"/>
        <v>0</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0.03</v>
      </c>
      <c r="F447" s="666"/>
      <c r="G447" s="21">
        <f t="shared" si="77"/>
        <v>0</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0.03</v>
      </c>
      <c r="F448" s="666"/>
      <c r="G448" s="21">
        <f t="shared" si="77"/>
        <v>0</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0.03</v>
      </c>
      <c r="F449" s="666"/>
      <c r="G449" s="21">
        <f t="shared" si="77"/>
        <v>0</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0.03</v>
      </c>
      <c r="F450" s="666"/>
      <c r="G450" s="21">
        <f t="shared" si="77"/>
        <v>0</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0.03</v>
      </c>
      <c r="F451" s="666"/>
      <c r="G451" s="21">
        <f t="shared" si="77"/>
        <v>0</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0.03</v>
      </c>
      <c r="F452" s="666"/>
      <c r="G452" s="21">
        <f t="shared" si="77"/>
        <v>0</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0.03</v>
      </c>
      <c r="F453" s="666"/>
      <c r="G453" s="21">
        <f t="shared" si="77"/>
        <v>0</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0.03</v>
      </c>
      <c r="F454" s="666"/>
      <c r="G454" s="21">
        <f t="shared" si="77"/>
        <v>0</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0.03</v>
      </c>
      <c r="F455" s="666"/>
      <c r="G455" s="21">
        <f t="shared" si="77"/>
        <v>0</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0.03</v>
      </c>
      <c r="F456" s="666"/>
      <c r="G456" s="21">
        <f t="shared" si="77"/>
        <v>0</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0.03</v>
      </c>
      <c r="F457" s="666"/>
      <c r="G457" s="21">
        <f t="shared" si="77"/>
        <v>0</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0.03</v>
      </c>
      <c r="F458" s="666"/>
      <c r="G458" s="21">
        <f t="shared" si="77"/>
        <v>0</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0.03</v>
      </c>
      <c r="F459" s="666"/>
      <c r="G459" s="21">
        <f t="shared" si="77"/>
        <v>0</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0.03</v>
      </c>
      <c r="F460" s="666"/>
      <c r="G460" s="21">
        <f t="shared" si="77"/>
        <v>0</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0.03</v>
      </c>
      <c r="F461" s="666"/>
      <c r="G461" s="21">
        <f t="shared" si="77"/>
        <v>0</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0.03</v>
      </c>
      <c r="F462" s="666"/>
      <c r="G462" s="21">
        <f t="shared" si="77"/>
        <v>0</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0.03</v>
      </c>
      <c r="F463" s="666"/>
      <c r="G463" s="21">
        <f t="shared" si="77"/>
        <v>0</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0.03</v>
      </c>
      <c r="F464" s="666"/>
      <c r="G464" s="21">
        <f t="shared" si="77"/>
        <v>0</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0.03</v>
      </c>
      <c r="F465" s="666"/>
      <c r="G465" s="21">
        <f t="shared" si="77"/>
        <v>0</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0.03</v>
      </c>
      <c r="F466" s="666"/>
      <c r="G466" s="21">
        <f t="shared" si="77"/>
        <v>0</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0.03</v>
      </c>
      <c r="F467" s="666"/>
      <c r="G467" s="21">
        <f t="shared" si="77"/>
        <v>0</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0.03</v>
      </c>
      <c r="F468" s="666"/>
      <c r="G468" s="21">
        <f t="shared" si="77"/>
        <v>0</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0.03</v>
      </c>
      <c r="F469" s="666"/>
      <c r="G469" s="21">
        <f t="shared" si="77"/>
        <v>0</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0.03</v>
      </c>
      <c r="F470" s="666"/>
      <c r="G470" s="21">
        <f t="shared" si="77"/>
        <v>0</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0.03</v>
      </c>
      <c r="F471" s="666"/>
      <c r="G471" s="21">
        <f t="shared" si="77"/>
        <v>0</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0.03</v>
      </c>
      <c r="F472" s="666"/>
      <c r="G472" s="21">
        <f t="shared" si="77"/>
        <v>0</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0.03</v>
      </c>
      <c r="F473" s="666"/>
      <c r="G473" s="21">
        <f t="shared" si="77"/>
        <v>0</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0.03</v>
      </c>
      <c r="F474" s="666"/>
      <c r="G474" s="21">
        <f t="shared" ref="G474:G524" si="88">(SUMIF($7:$7,F474,$8:$8)-SUMIF($7:$7,$F$24,$8:$8)+100)/100</f>
        <v>0</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0.03</v>
      </c>
      <c r="F475" s="666"/>
      <c r="G475" s="21">
        <f t="shared" si="88"/>
        <v>0</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0.03</v>
      </c>
      <c r="F476" s="666"/>
      <c r="G476" s="21">
        <f t="shared" si="88"/>
        <v>0</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0.03</v>
      </c>
      <c r="F477" s="666"/>
      <c r="G477" s="21">
        <f t="shared" si="88"/>
        <v>0</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0.03</v>
      </c>
      <c r="F478" s="666"/>
      <c r="G478" s="21">
        <f t="shared" si="88"/>
        <v>0</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0.03</v>
      </c>
      <c r="F479" s="666"/>
      <c r="G479" s="21">
        <f t="shared" si="88"/>
        <v>0</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0.03</v>
      </c>
      <c r="F480" s="666"/>
      <c r="G480" s="21">
        <f t="shared" si="88"/>
        <v>0</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0.03</v>
      </c>
      <c r="F481" s="666"/>
      <c r="G481" s="21">
        <f t="shared" si="88"/>
        <v>0</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0.03</v>
      </c>
      <c r="F482" s="666"/>
      <c r="G482" s="21">
        <f t="shared" si="88"/>
        <v>0</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0.03</v>
      </c>
      <c r="F483" s="666"/>
      <c r="G483" s="21">
        <f t="shared" si="88"/>
        <v>0</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0.03</v>
      </c>
      <c r="F484" s="666"/>
      <c r="G484" s="21">
        <f t="shared" si="88"/>
        <v>0</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0.03</v>
      </c>
      <c r="F485" s="666"/>
      <c r="G485" s="21">
        <f t="shared" si="88"/>
        <v>0</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0.03</v>
      </c>
      <c r="F486" s="666"/>
      <c r="G486" s="21">
        <f t="shared" si="88"/>
        <v>0</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0.03</v>
      </c>
      <c r="F487" s="666"/>
      <c r="G487" s="21">
        <f t="shared" si="88"/>
        <v>0</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0.03</v>
      </c>
      <c r="F488" s="666"/>
      <c r="G488" s="21">
        <f t="shared" si="88"/>
        <v>0</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0.03</v>
      </c>
      <c r="F489" s="666"/>
      <c r="G489" s="21">
        <f t="shared" si="88"/>
        <v>0</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0.03</v>
      </c>
      <c r="F490" s="666"/>
      <c r="G490" s="21">
        <f t="shared" si="88"/>
        <v>0</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0.03</v>
      </c>
      <c r="F491" s="666"/>
      <c r="G491" s="21">
        <f t="shared" si="88"/>
        <v>0</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0.03</v>
      </c>
      <c r="F492" s="666"/>
      <c r="G492" s="21">
        <f t="shared" si="88"/>
        <v>0</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0.03</v>
      </c>
      <c r="F493" s="666"/>
      <c r="G493" s="21">
        <f t="shared" si="88"/>
        <v>0</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0.03</v>
      </c>
      <c r="F494" s="666"/>
      <c r="G494" s="21">
        <f t="shared" si="88"/>
        <v>0</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0.03</v>
      </c>
      <c r="F495" s="666"/>
      <c r="G495" s="21">
        <f t="shared" si="88"/>
        <v>0</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0.03</v>
      </c>
      <c r="F496" s="666"/>
      <c r="G496" s="21">
        <f t="shared" si="88"/>
        <v>0</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0.03</v>
      </c>
      <c r="F497" s="666"/>
      <c r="G497" s="21">
        <f t="shared" si="88"/>
        <v>0</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0.03</v>
      </c>
      <c r="F498" s="666"/>
      <c r="G498" s="21">
        <f t="shared" si="88"/>
        <v>0</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0.03</v>
      </c>
      <c r="F499" s="666"/>
      <c r="G499" s="21">
        <f t="shared" si="88"/>
        <v>0</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0.03</v>
      </c>
      <c r="F500" s="666"/>
      <c r="G500" s="21">
        <f t="shared" si="88"/>
        <v>0</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0.03</v>
      </c>
      <c r="F501" s="666"/>
      <c r="G501" s="21">
        <f t="shared" si="88"/>
        <v>0</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0.03</v>
      </c>
      <c r="F502" s="666"/>
      <c r="G502" s="21">
        <f t="shared" si="88"/>
        <v>0</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0.03</v>
      </c>
      <c r="F503" s="666"/>
      <c r="G503" s="21">
        <f t="shared" si="88"/>
        <v>0</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0.03</v>
      </c>
      <c r="F504" s="666"/>
      <c r="G504" s="21">
        <f t="shared" si="88"/>
        <v>0</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0.03</v>
      </c>
      <c r="F505" s="666"/>
      <c r="G505" s="21">
        <f t="shared" si="88"/>
        <v>0</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0.03</v>
      </c>
      <c r="F506" s="666"/>
      <c r="G506" s="21">
        <f t="shared" si="88"/>
        <v>0</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0.03</v>
      </c>
      <c r="F507" s="666"/>
      <c r="G507" s="21">
        <f t="shared" si="88"/>
        <v>0</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0.03</v>
      </c>
      <c r="F508" s="666"/>
      <c r="G508" s="21">
        <f t="shared" si="88"/>
        <v>0</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0.03</v>
      </c>
      <c r="F509" s="666"/>
      <c r="G509" s="21">
        <f t="shared" si="88"/>
        <v>0</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0.03</v>
      </c>
      <c r="F510" s="666"/>
      <c r="G510" s="21">
        <f t="shared" si="88"/>
        <v>0</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0.03</v>
      </c>
      <c r="F511" s="666"/>
      <c r="G511" s="21">
        <f t="shared" si="88"/>
        <v>0</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0.03</v>
      </c>
      <c r="F512" s="666"/>
      <c r="G512" s="21">
        <f t="shared" si="88"/>
        <v>0</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0.03</v>
      </c>
      <c r="F513" s="666"/>
      <c r="G513" s="21">
        <f t="shared" si="88"/>
        <v>0</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0.03</v>
      </c>
      <c r="F514" s="666"/>
      <c r="G514" s="21">
        <f t="shared" si="88"/>
        <v>0</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0.03</v>
      </c>
      <c r="F515" s="666"/>
      <c r="G515" s="21">
        <f t="shared" si="88"/>
        <v>0</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0.03</v>
      </c>
      <c r="F516" s="666"/>
      <c r="G516" s="21">
        <f t="shared" si="88"/>
        <v>0</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0.03</v>
      </c>
      <c r="F517" s="666"/>
      <c r="G517" s="21">
        <f t="shared" si="88"/>
        <v>0</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0.03</v>
      </c>
      <c r="F518" s="666"/>
      <c r="G518" s="21">
        <f t="shared" si="88"/>
        <v>0</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0.03</v>
      </c>
      <c r="F519" s="666"/>
      <c r="G519" s="21">
        <f t="shared" si="88"/>
        <v>0</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0.03</v>
      </c>
      <c r="F520" s="666"/>
      <c r="G520" s="21">
        <f t="shared" si="88"/>
        <v>0</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0.03</v>
      </c>
      <c r="F521" s="666"/>
      <c r="G521" s="21">
        <f t="shared" si="88"/>
        <v>0</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0.03</v>
      </c>
      <c r="F522" s="666"/>
      <c r="G522" s="21">
        <f t="shared" si="88"/>
        <v>0</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0.03</v>
      </c>
      <c r="F523" s="666"/>
      <c r="G523" s="21">
        <f t="shared" si="88"/>
        <v>0</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0.03</v>
      </c>
      <c r="F524" s="666"/>
      <c r="G524" s="21">
        <f t="shared" si="88"/>
        <v>0</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J39" sqref="J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812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33693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531</v>
      </c>
      <c r="D5" s="211" t="s">
        <v>1469</v>
      </c>
      <c r="E5" s="212" t="s">
        <v>1470</v>
      </c>
      <c r="F5" s="212" t="s">
        <v>1471</v>
      </c>
      <c r="G5" s="213"/>
    </row>
    <row r="6" spans="1:9" s="214" customFormat="1" ht="13.5" customHeight="1">
      <c r="A6" s="777" t="s">
        <v>1472</v>
      </c>
      <c r="B6" s="215" t="s">
        <v>1473</v>
      </c>
      <c r="C6" s="3471">
        <f>基准地价修正!E33</f>
        <v>510</v>
      </c>
      <c r="D6" s="217"/>
      <c r="E6" s="218"/>
      <c r="F6" s="218"/>
      <c r="G6" s="219"/>
    </row>
    <row r="7" spans="1:9" s="214" customFormat="1" ht="13.5" customHeight="1">
      <c r="A7" s="777" t="s">
        <v>1474</v>
      </c>
      <c r="B7" s="215" t="s">
        <v>1475</v>
      </c>
      <c r="C7" s="220">
        <f>ROUND(C6*F7,0)</f>
        <v>16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5</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241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241</v>
      </c>
      <c r="E19" s="211">
        <f>'数据-取费表'!B31</f>
        <v>200</v>
      </c>
      <c r="F19" s="231"/>
      <c r="G19" s="1855" t="s">
        <v>3436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108</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241</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v>
      </c>
      <c r="D42" s="238"/>
      <c r="E42" s="238"/>
      <c r="F42" s="239"/>
      <c r="G42" s="3662" t="s">
        <v>1544</v>
      </c>
    </row>
    <row r="43" spans="1:7" ht="13.5" customHeight="1">
      <c r="A43" s="779" t="s">
        <v>347</v>
      </c>
      <c r="B43" s="215" t="s">
        <v>1545</v>
      </c>
      <c r="C43" s="238">
        <f ca="1">ROUND(IF('数据-取费表'!B22&lt;=1,C39*F22*'数据-取费表'!B21/2,C39*(POWER((1+F22),'数据-取费表'!B21/2)-1)),0)</f>
        <v>0</v>
      </c>
      <c r="D43" s="238"/>
      <c r="E43" s="238"/>
      <c r="F43" s="239"/>
      <c r="G43" s="3663"/>
    </row>
    <row r="44" spans="1:7" ht="13.5" customHeight="1">
      <c r="A44" s="779" t="s">
        <v>348</v>
      </c>
      <c r="B44" s="215" t="s">
        <v>1546</v>
      </c>
      <c r="C44" s="238">
        <f ca="1">ROUND(IF('数据-取费表'!B22&lt;=1,C40*F22*'数据-取费表'!B21/2,C40*(POWER((1+F22),'数据-取费表'!B21/2)-1)),4)</f>
        <v>2.9999999999999997E-4</v>
      </c>
      <c r="D44" s="238"/>
      <c r="E44" s="238"/>
      <c r="F44" s="239"/>
      <c r="G44" s="3664"/>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79" t="s">
        <v>346</v>
      </c>
      <c r="B46" s="248" t="s">
        <v>1549</v>
      </c>
      <c r="C46" s="249">
        <f ca="1">ROUND((C33+C39)*F27,0)</f>
        <v>19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89</v>
      </c>
      <c r="D51" s="232"/>
      <c r="E51" s="232"/>
      <c r="F51" s="264"/>
      <c r="G51" s="234" t="s">
        <v>1560</v>
      </c>
    </row>
    <row r="52" spans="1:7" s="208" customFormat="1" ht="16.5" thickBot="1">
      <c r="A52" s="265" t="s">
        <v>1561</v>
      </c>
      <c r="B52" s="266"/>
      <c r="C52" s="267">
        <f ca="1">C31+C51</f>
        <v>812</v>
      </c>
      <c r="D52" s="266"/>
      <c r="E52" s="266"/>
      <c r="F52" s="266"/>
      <c r="G52" s="268"/>
    </row>
    <row r="55" spans="1:7" ht="15">
      <c r="B55" s="270" t="s">
        <v>1562</v>
      </c>
      <c r="C55" s="271"/>
    </row>
    <row r="56" spans="1:7">
      <c r="B56" s="273" t="s">
        <v>802</v>
      </c>
      <c r="C56" s="275">
        <f ca="1">1-C57</f>
        <v>0.89</v>
      </c>
    </row>
    <row r="57" spans="1:7">
      <c r="B57" s="273" t="s">
        <v>803</v>
      </c>
      <c r="C57" s="274">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241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241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241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192</v>
      </c>
      <c r="C2" s="1386" t="s">
        <v>805</v>
      </c>
      <c r="D2" s="1386"/>
      <c r="E2" s="1387"/>
      <c r="F2" s="1388"/>
      <c r="G2" s="2705"/>
      <c r="H2" s="2694"/>
      <c r="I2" s="2694"/>
      <c r="J2" s="2694"/>
      <c r="K2" s="2695"/>
      <c r="L2" s="2694"/>
      <c r="M2" s="2694"/>
    </row>
    <row r="3" spans="1:37" ht="18" customHeight="1" thickBot="1">
      <c r="A3" s="1389" t="s">
        <v>806</v>
      </c>
      <c r="B3" s="1390">
        <f ca="1">IF(ISERROR(B2*10000/F43),0,ROUND(B2*10000/F43,0))</f>
        <v>7967</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20</v>
      </c>
      <c r="D5" s="1363" t="s">
        <v>693</v>
      </c>
      <c r="E5" s="1070"/>
      <c r="F5" s="1071"/>
      <c r="G5" s="1383"/>
      <c r="H5" s="299">
        <v>1</v>
      </c>
      <c r="I5" s="300" t="s">
        <v>692</v>
      </c>
      <c r="J5" s="1069">
        <f ca="1">J6+J10+J12</f>
        <v>0</v>
      </c>
      <c r="K5" s="1363" t="s">
        <v>693</v>
      </c>
      <c r="L5" s="1070"/>
      <c r="M5" s="1071"/>
    </row>
    <row r="6" spans="1:37" ht="18" customHeight="1">
      <c r="A6" s="1068" t="s">
        <v>398</v>
      </c>
      <c r="B6" s="3667" t="s">
        <v>694</v>
      </c>
      <c r="C6" s="1073">
        <f ca="1">ROUND(F6*F8*F7*(1-F9)/10000,0)</f>
        <v>20</v>
      </c>
      <c r="D6" s="155" t="s">
        <v>2106</v>
      </c>
      <c r="E6" s="302" t="s">
        <v>696</v>
      </c>
      <c r="F6" s="303">
        <f ca="1">INDIRECT("'数据-取费表'!u"&amp;$G$1)</f>
        <v>2.5</v>
      </c>
      <c r="G6" s="1383"/>
      <c r="H6" s="1068" t="s">
        <v>398</v>
      </c>
      <c r="I6" s="3667" t="s">
        <v>694</v>
      </c>
      <c r="J6" s="301">
        <f ca="1">ROUND(M6*M8*M7*(1-M9)/10000,0)</f>
        <v>0</v>
      </c>
      <c r="K6" s="155" t="s">
        <v>2105</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241</v>
      </c>
      <c r="G7" s="1383"/>
      <c r="H7" s="304"/>
      <c r="I7" s="3668"/>
      <c r="J7" s="306"/>
      <c r="K7" s="307"/>
      <c r="L7" s="302" t="s">
        <v>697</v>
      </c>
      <c r="M7" s="303">
        <f ca="1">F7</f>
        <v>241</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84</v>
      </c>
      <c r="D14" s="1344" t="s">
        <v>708</v>
      </c>
      <c r="E14" s="1341"/>
      <c r="F14" s="319"/>
      <c r="G14" s="1383"/>
      <c r="H14" s="981" t="s">
        <v>398</v>
      </c>
      <c r="I14" s="302" t="s">
        <v>709</v>
      </c>
      <c r="J14" s="21">
        <f ca="1">C29</f>
        <v>127</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v>
      </c>
      <c r="K16" s="1086" t="s">
        <v>715</v>
      </c>
      <c r="L16" s="1087"/>
      <c r="M16" s="1071"/>
    </row>
    <row r="17" spans="1:37" s="1396" customFormat="1" ht="18" customHeight="1">
      <c r="A17" s="981" t="s">
        <v>681</v>
      </c>
      <c r="B17" s="302" t="s">
        <v>716</v>
      </c>
      <c r="C17" s="21">
        <f ca="1">ROUND(F17*(F43+INDIRECT("'数据-取费表'!S"&amp;$G$1))/10000,0)</f>
        <v>5</v>
      </c>
      <c r="D17" s="302" t="s">
        <v>717</v>
      </c>
      <c r="E17" s="302" t="s">
        <v>718</v>
      </c>
      <c r="F17" s="23">
        <f>'数据-取费表'!B35</f>
        <v>200</v>
      </c>
      <c r="G17" s="1395"/>
      <c r="H17" s="981" t="s">
        <v>398</v>
      </c>
      <c r="I17" s="302" t="s">
        <v>719</v>
      </c>
      <c r="J17" s="2315">
        <f ca="1">ROUND(IF(AND(项目基本情况!B11="自然人",项目基本情况!B10="北京市"),J6*M17/(1+'数据-取费表'!C42),J18+J19+J20),2)</f>
        <v>0.21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94</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0.64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v>
      </c>
      <c r="K25" s="1094" t="s">
        <v>753</v>
      </c>
      <c r="L25" s="1095"/>
      <c r="M25" s="1096"/>
    </row>
    <row r="26" spans="1:37">
      <c r="A26" s="981" t="s">
        <v>397</v>
      </c>
      <c r="B26" s="302" t="s">
        <v>754</v>
      </c>
      <c r="C26" s="21">
        <f ca="1">ROUND((C19+C20)*F26,0)</f>
        <v>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127</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3.55</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1.05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2.29</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0.21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ROUND(C29*F36,2)</f>
        <v>0.64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0.13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7220</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-184</v>
      </c>
      <c r="D46" s="1405" t="str">
        <f>C2</f>
        <v>万元</v>
      </c>
      <c r="E46" s="1399"/>
      <c r="F46" s="1399"/>
      <c r="I46" s="1406" t="s">
        <v>810</v>
      </c>
      <c r="J46" s="1407"/>
      <c r="K46" s="1408"/>
      <c r="L46" s="1409">
        <f ca="1">IF(M47="住宅",0,IF(L48&gt;J51,L60,J60))</f>
        <v>18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174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1996</v>
      </c>
      <c r="K49" s="1422" t="s">
        <v>824</v>
      </c>
      <c r="L49" s="1426"/>
      <c r="O49" s="1427" t="s">
        <v>405</v>
      </c>
      <c r="P49" s="1418" t="s">
        <v>825</v>
      </c>
      <c r="Q49" s="1419">
        <f ca="1">C29</f>
        <v>127</v>
      </c>
      <c r="R49" s="1419" t="s">
        <v>818</v>
      </c>
    </row>
    <row r="50" spans="1:18" s="1383" customFormat="1" ht="13.5" thickBot="1">
      <c r="A50" s="975"/>
      <c r="B50" s="978"/>
      <c r="C50" s="1117"/>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154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14.15</v>
      </c>
      <c r="K53" s="3665" t="s">
        <v>837</v>
      </c>
      <c r="L53" s="3666"/>
      <c r="O53" s="1417" t="s">
        <v>409</v>
      </c>
      <c r="P53" s="1418" t="s">
        <v>838</v>
      </c>
      <c r="Q53" s="1419">
        <f ca="1">Q47+Q48</f>
        <v>192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89</v>
      </c>
      <c r="D56" s="1446"/>
      <c r="E56" s="1447"/>
      <c r="F56" s="1439"/>
      <c r="I56" s="1448" t="s">
        <v>842</v>
      </c>
      <c r="J56" s="1449" t="s">
        <v>3382</v>
      </c>
      <c r="K56" s="1420" t="s">
        <v>843</v>
      </c>
      <c r="L56" s="1423" t="str">
        <f ca="1">IF(L48&lt;J51,"——",L48-J53)</f>
        <v>——</v>
      </c>
      <c r="O56" s="1417" t="s">
        <v>403</v>
      </c>
      <c r="P56" s="1418" t="s">
        <v>817</v>
      </c>
      <c r="Q56" s="1419">
        <f ca="1">C40+J29</f>
        <v>174</v>
      </c>
      <c r="R56" s="1419" t="s">
        <v>818</v>
      </c>
    </row>
    <row r="57" spans="1:18" s="1383" customFormat="1" ht="24.75" thickBot="1">
      <c r="A57" s="1450"/>
      <c r="B57" s="949" t="s">
        <v>767</v>
      </c>
      <c r="C57" s="238">
        <f ca="1">C29</f>
        <v>127</v>
      </c>
      <c r="D57" s="1451"/>
      <c r="E57" s="1452"/>
      <c r="F57" s="1453"/>
      <c r="I57" s="1454" t="s">
        <v>844</v>
      </c>
      <c r="J57" s="1455">
        <f ca="1">IF(OR(M47="住宅",J51&lt;L48,J56="是"),"——",J51-L48)</f>
        <v>17.850000000000001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0.21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174</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0.64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0.13</v>
      </c>
      <c r="D65" s="963" t="s">
        <v>743</v>
      </c>
      <c r="E65" s="949" t="s">
        <v>744</v>
      </c>
      <c r="F65" s="330">
        <f t="shared" ca="1" si="0"/>
        <v>1.5E-3</v>
      </c>
      <c r="I65" s="1461" t="s">
        <v>867</v>
      </c>
      <c r="J65" s="1462">
        <v>40</v>
      </c>
      <c r="K65" s="1462">
        <v>30</v>
      </c>
      <c r="L65" s="1462">
        <v>50</v>
      </c>
      <c r="M65" s="1464">
        <v>0.02</v>
      </c>
      <c r="O65" s="1417" t="s">
        <v>403</v>
      </c>
      <c r="P65" s="1418" t="s">
        <v>868</v>
      </c>
      <c r="Q65" s="1419">
        <f ca="1">C40+J29</f>
        <v>174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v>
      </c>
      <c r="D67" s="962" t="s">
        <v>753</v>
      </c>
      <c r="E67" s="967"/>
      <c r="F67" s="968"/>
      <c r="O67" s="1427" t="s">
        <v>405</v>
      </c>
      <c r="P67" s="1418" t="s">
        <v>850</v>
      </c>
      <c r="Q67" s="1465">
        <f ca="1">L51</f>
        <v>154</v>
      </c>
      <c r="R67" s="1419" t="s">
        <v>870</v>
      </c>
    </row>
    <row r="68" spans="1:18" s="1383" customFormat="1" ht="16.5" thickBot="1">
      <c r="A68" s="946" t="s">
        <v>395</v>
      </c>
      <c r="B68" s="947" t="s">
        <v>774</v>
      </c>
      <c r="C68" s="301">
        <f ca="1">ROUND(C67*(1-((1+F70)/(1+F68))^F69)/(F68-F70),0)</f>
        <v>-10</v>
      </c>
      <c r="D68" s="964" t="s">
        <v>758</v>
      </c>
      <c r="E68" s="949" t="s">
        <v>759</v>
      </c>
      <c r="F68" s="312">
        <f ca="1">F40</f>
        <v>5.5E-2</v>
      </c>
      <c r="O68" s="1427" t="s">
        <v>406</v>
      </c>
      <c r="P68" s="1466" t="s">
        <v>871</v>
      </c>
      <c r="Q68" s="1419">
        <f ca="1">ROUND(Q69-Q70*Q71,0)</f>
        <v>10</v>
      </c>
      <c r="R68" s="1419" t="s">
        <v>414</v>
      </c>
    </row>
    <row r="69" spans="1:18" s="1383" customFormat="1" ht="13.5" thickBot="1">
      <c r="A69" s="950"/>
      <c r="B69" s="951"/>
      <c r="C69" s="306"/>
      <c r="D69" s="969" t="s">
        <v>762</v>
      </c>
      <c r="E69" s="949" t="s">
        <v>763</v>
      </c>
      <c r="F69" s="333">
        <f ca="1">F41</f>
        <v>14.15</v>
      </c>
      <c r="O69" s="1427" t="s">
        <v>411</v>
      </c>
      <c r="P69" s="1466" t="s">
        <v>872</v>
      </c>
      <c r="Q69" s="1419">
        <f ca="1">C39</f>
        <v>16</v>
      </c>
      <c r="R69" s="1419" t="s">
        <v>818</v>
      </c>
    </row>
    <row r="70" spans="1:18" s="1383" customFormat="1" ht="13.5" thickBot="1">
      <c r="A70" s="953"/>
      <c r="B70" s="954"/>
      <c r="C70" s="310"/>
      <c r="D70" s="965"/>
      <c r="E70" s="949" t="s">
        <v>766</v>
      </c>
      <c r="F70" s="1053"/>
      <c r="O70" s="1427" t="s">
        <v>412</v>
      </c>
      <c r="P70" s="1466" t="s">
        <v>873</v>
      </c>
      <c r="Q70" s="1419">
        <f ca="1">C13</f>
        <v>89</v>
      </c>
      <c r="R70" s="1419" t="s">
        <v>818</v>
      </c>
    </row>
    <row r="71" spans="1:18" s="1383" customFormat="1" ht="13.5" thickBot="1">
      <c r="A71" s="970" t="s">
        <v>396</v>
      </c>
      <c r="B71" s="971" t="s">
        <v>776</v>
      </c>
      <c r="C71" s="336">
        <f ca="1">ROUND(C68*10000/F71,0)</f>
        <v>-415</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0.48899999999999999</v>
      </c>
    </row>
    <row r="83" spans="2:3">
      <c r="B83" s="273" t="s">
        <v>803</v>
      </c>
      <c r="C83" s="274">
        <f ca="1">ROUND(C13/C40,3)</f>
        <v>0.51100000000000001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3392</v>
      </c>
      <c r="F1" s="1878" t="s">
        <v>3393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684" t="s">
        <v>1773</v>
      </c>
      <c r="W4" s="3684"/>
      <c r="X4" s="1354"/>
      <c r="Y4" s="3699" t="s">
        <v>1775</v>
      </c>
      <c r="Z4" s="3700"/>
      <c r="AA4" s="3686" t="s">
        <v>1771</v>
      </c>
      <c r="AB4" s="3684" t="s">
        <v>1772</v>
      </c>
      <c r="AC4" s="3686" t="s">
        <v>1773</v>
      </c>
    </row>
    <row r="5" spans="1:29" ht="15">
      <c r="A5" s="358"/>
      <c r="B5" s="359"/>
      <c r="C5" s="3707" t="s">
        <v>1673</v>
      </c>
      <c r="D5" s="3708"/>
      <c r="E5" s="3714" t="s">
        <v>1674</v>
      </c>
      <c r="F5" s="3715"/>
      <c r="G5" s="3707" t="s">
        <v>1675</v>
      </c>
      <c r="H5" s="3708"/>
      <c r="I5" s="3707" t="s">
        <v>1676</v>
      </c>
      <c r="J5" s="3708"/>
      <c r="K5" s="559"/>
      <c r="L5" s="2714"/>
      <c r="M5" s="2715"/>
      <c r="N5" s="2715"/>
      <c r="O5" s="2715"/>
      <c r="P5" s="3695"/>
      <c r="Q5" s="3696"/>
      <c r="R5" s="3701"/>
      <c r="S5" s="3702"/>
      <c r="T5" s="3701"/>
      <c r="U5" s="3702"/>
      <c r="V5" s="3684"/>
      <c r="W5" s="3684"/>
      <c r="X5" s="1354"/>
      <c r="Y5" s="3701"/>
      <c r="Z5" s="3702"/>
      <c r="AA5" s="3687"/>
      <c r="AB5" s="3684"/>
      <c r="AC5" s="3687"/>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7"/>
      <c r="Q6" s="3698"/>
      <c r="R6" s="3701"/>
      <c r="S6" s="3702"/>
      <c r="T6" s="3703"/>
      <c r="U6" s="3704"/>
      <c r="V6" s="3684"/>
      <c r="W6" s="3684"/>
      <c r="X6" s="1354"/>
      <c r="Y6" s="3703"/>
      <c r="Z6" s="3704"/>
      <c r="AA6" s="3688"/>
      <c r="AB6" s="3684"/>
      <c r="AC6" s="3688"/>
    </row>
    <row r="7" spans="1:29" s="108" customFormat="1" ht="15.75" thickBot="1">
      <c r="A7" s="362" t="s">
        <v>1679</v>
      </c>
      <c r="B7" s="363"/>
      <c r="C7" s="364">
        <f>'数据-取费表'!B2</f>
        <v>45432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09" t="s">
        <v>1680</v>
      </c>
      <c r="Q7" s="3711"/>
      <c r="R7" s="700" t="s">
        <v>14</v>
      </c>
      <c r="S7" s="701">
        <f t="shared" ref="S7:S15" si="0">F7</f>
        <v>100</v>
      </c>
      <c r="T7" s="700" t="s">
        <v>14</v>
      </c>
      <c r="U7" s="701">
        <f t="shared" ref="U7:U15" si="1">H7</f>
        <v>100</v>
      </c>
      <c r="V7" s="700" t="s">
        <v>14</v>
      </c>
      <c r="W7" s="701">
        <f t="shared" ref="W7:W15" si="2">J7</f>
        <v>100</v>
      </c>
      <c r="X7" s="702"/>
      <c r="Y7" s="3709" t="s">
        <v>1680</v>
      </c>
      <c r="Z7" s="3710"/>
      <c r="AA7" s="703">
        <f>D7/F7</f>
        <v>1</v>
      </c>
      <c r="AB7" s="703">
        <f>D7/H7</f>
        <v>1</v>
      </c>
      <c r="AC7" s="703">
        <f>D7/J7</f>
        <v>1</v>
      </c>
    </row>
    <row r="8" spans="1:29" s="108" customFormat="1" ht="15.75" thickBot="1">
      <c r="A8" s="362" t="s">
        <v>1681</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46" si="3">D8/F8</f>
        <v>1</v>
      </c>
      <c r="AB8" s="703">
        <f t="shared" ref="AB8:AB46" si="4">D8/H8</f>
        <v>1</v>
      </c>
      <c r="AC8" s="703">
        <f t="shared" ref="AC8:AC46" si="5">D8/J8</f>
        <v>1</v>
      </c>
    </row>
    <row r="9" spans="1:29" s="108" customFormat="1">
      <c r="A9" s="369" t="s">
        <v>1684</v>
      </c>
      <c r="B9" s="63" t="s">
        <v>1685</v>
      </c>
      <c r="C9" s="3447"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5"/>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75" t="s">
        <v>1691</v>
      </c>
      <c r="Q15" s="1351" t="str">
        <f t="shared" si="6"/>
        <v>商业繁华度</v>
      </c>
      <c r="R15" s="704" t="s">
        <v>14</v>
      </c>
      <c r="S15" s="705">
        <f t="shared" si="0"/>
        <v>100</v>
      </c>
      <c r="T15" s="704" t="s">
        <v>14</v>
      </c>
      <c r="U15" s="705">
        <f t="shared" si="1"/>
        <v>100</v>
      </c>
      <c r="V15" s="704" t="s">
        <v>14</v>
      </c>
      <c r="W15" s="705">
        <f t="shared" si="2"/>
        <v>100</v>
      </c>
      <c r="X15" s="1354"/>
      <c r="Y15" s="3677"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76"/>
      <c r="Q16" s="1351"/>
      <c r="R16" s="704"/>
      <c r="S16" s="705"/>
      <c r="T16" s="704"/>
      <c r="U16" s="705"/>
      <c r="V16" s="704"/>
      <c r="W16" s="705"/>
      <c r="X16" s="1354"/>
      <c r="Y16" s="367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76"/>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76"/>
      <c r="Q18" s="1351"/>
      <c r="R18" s="704"/>
      <c r="S18" s="705"/>
      <c r="T18" s="704"/>
      <c r="U18" s="705"/>
      <c r="V18" s="704"/>
      <c r="W18" s="705"/>
      <c r="X18" s="1354"/>
      <c r="Y18" s="367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76"/>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76"/>
      <c r="Q20" s="1351"/>
      <c r="R20" s="704"/>
      <c r="S20" s="705"/>
      <c r="T20" s="704"/>
      <c r="U20" s="705"/>
      <c r="V20" s="704"/>
      <c r="W20" s="705"/>
      <c r="X20" s="1354"/>
      <c r="Y20" s="367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76"/>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76"/>
      <c r="Q22" s="1351"/>
      <c r="R22" s="704"/>
      <c r="S22" s="705"/>
      <c r="T22" s="704"/>
      <c r="U22" s="705"/>
      <c r="V22" s="704"/>
      <c r="W22" s="705"/>
      <c r="X22" s="1354"/>
      <c r="Y22" s="367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76"/>
      <c r="Q23" s="1351" t="str">
        <f>B23</f>
        <v>自然及人文环境</v>
      </c>
      <c r="R23" s="704" t="s">
        <v>14</v>
      </c>
      <c r="S23" s="705">
        <f>F23</f>
        <v>100</v>
      </c>
      <c r="T23" s="704" t="s">
        <v>14</v>
      </c>
      <c r="U23" s="705">
        <f>H23</f>
        <v>100</v>
      </c>
      <c r="V23" s="704" t="s">
        <v>14</v>
      </c>
      <c r="W23" s="705">
        <f>J23</f>
        <v>100</v>
      </c>
      <c r="X23" s="1354"/>
      <c r="Y23" s="367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76"/>
      <c r="Q24" s="1351"/>
      <c r="R24" s="704"/>
      <c r="S24" s="705"/>
      <c r="T24" s="704"/>
      <c r="U24" s="705"/>
      <c r="V24" s="704"/>
      <c r="W24" s="705"/>
      <c r="X24" s="1354"/>
      <c r="Y24" s="3678"/>
      <c r="Z24" s="1355"/>
      <c r="AA24" s="1352">
        <v>1</v>
      </c>
      <c r="AB24" s="1352">
        <v>1</v>
      </c>
      <c r="AC24" s="1352">
        <v>1</v>
      </c>
    </row>
    <row r="25" spans="1:29" ht="15">
      <c r="A25" s="379"/>
      <c r="B25" s="375" t="s">
        <v>1780</v>
      </c>
      <c r="C25" s="565" t="s">
        <v>3437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2">
        <v>0</v>
      </c>
      <c r="L25" s="2721"/>
      <c r="M25" s="2715"/>
      <c r="N25" s="2715"/>
      <c r="O25" s="2715"/>
      <c r="P25" s="3676"/>
      <c r="Q25" s="1351" t="str">
        <f t="shared" ref="Q25:Q46" si="11">B25</f>
        <v>临街状况</v>
      </c>
      <c r="R25" s="704" t="s">
        <v>14</v>
      </c>
      <c r="S25" s="705">
        <f>F25</f>
        <v>100</v>
      </c>
      <c r="T25" s="704" t="s">
        <v>14</v>
      </c>
      <c r="U25" s="705">
        <f>H25</f>
        <v>100</v>
      </c>
      <c r="V25" s="704" t="s">
        <v>14</v>
      </c>
      <c r="W25" s="705">
        <f>J25</f>
        <v>100</v>
      </c>
      <c r="X25" s="1354"/>
      <c r="Y25" s="367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6"/>
      <c r="Q26" s="1351" t="str">
        <f t="shared" si="11"/>
        <v>平面位置/可视性</v>
      </c>
      <c r="R26" s="704" t="s">
        <v>14</v>
      </c>
      <c r="S26" s="705">
        <f>F26</f>
        <v>100</v>
      </c>
      <c r="T26" s="704" t="s">
        <v>14</v>
      </c>
      <c r="U26" s="705">
        <f>H26</f>
        <v>100</v>
      </c>
      <c r="V26" s="704" t="s">
        <v>14</v>
      </c>
      <c r="W26" s="705">
        <f>J26</f>
        <v>100</v>
      </c>
      <c r="X26" s="1354"/>
      <c r="Y26" s="3678"/>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2">
        <v>0</v>
      </c>
      <c r="L27" s="2716"/>
      <c r="M27" s="2717"/>
      <c r="N27" s="2717"/>
      <c r="O27" s="2717"/>
      <c r="P27" s="3676"/>
      <c r="Q27" s="1342" t="str">
        <f t="shared" si="11"/>
        <v>人流量</v>
      </c>
      <c r="R27" s="700" t="s">
        <v>14</v>
      </c>
      <c r="S27" s="701">
        <f>F27</f>
        <v>100</v>
      </c>
      <c r="T27" s="700" t="s">
        <v>14</v>
      </c>
      <c r="U27" s="701">
        <f>H27</f>
        <v>100</v>
      </c>
      <c r="V27" s="700" t="s">
        <v>14</v>
      </c>
      <c r="W27" s="701">
        <f>J27</f>
        <v>100</v>
      </c>
      <c r="X27" s="702"/>
      <c r="Y27" s="3678"/>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7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6"/>
      <c r="Q29" s="1351">
        <f t="shared" si="11"/>
        <v>111</v>
      </c>
      <c r="R29" s="704" t="s">
        <v>14</v>
      </c>
      <c r="S29" s="705">
        <f t="shared" si="12"/>
        <v>100</v>
      </c>
      <c r="T29" s="704" t="s">
        <v>14</v>
      </c>
      <c r="U29" s="705">
        <f t="shared" si="13"/>
        <v>100</v>
      </c>
      <c r="V29" s="704" t="s">
        <v>14</v>
      </c>
      <c r="W29" s="705">
        <f t="shared" si="14"/>
        <v>100</v>
      </c>
      <c r="X29" s="1354"/>
      <c r="Y29" s="367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6"/>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6"/>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352">
        <f t="shared" si="5"/>
        <v>1</v>
      </c>
    </row>
    <row r="32" spans="1:29" ht="15">
      <c r="A32" s="391" t="s">
        <v>1694</v>
      </c>
      <c r="B32" s="63" t="s">
        <v>1784</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679" t="s">
        <v>1696</v>
      </c>
      <c r="Q32" s="1351" t="str">
        <f t="shared" si="11"/>
        <v>商业类型</v>
      </c>
      <c r="R32" s="704" t="s">
        <v>14</v>
      </c>
      <c r="S32" s="705">
        <f t="shared" si="12"/>
        <v>100</v>
      </c>
      <c r="T32" s="704" t="s">
        <v>14</v>
      </c>
      <c r="U32" s="705">
        <f t="shared" si="13"/>
        <v>100</v>
      </c>
      <c r="V32" s="704" t="s">
        <v>14</v>
      </c>
      <c r="W32" s="705">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80"/>
      <c r="Q33" s="706" t="str">
        <f t="shared" si="11"/>
        <v>项目建筑规模</v>
      </c>
      <c r="R33" s="707" t="s">
        <v>14</v>
      </c>
      <c r="S33" s="708">
        <f t="shared" si="12"/>
        <v>100</v>
      </c>
      <c r="T33" s="707" t="s">
        <v>14</v>
      </c>
      <c r="U33" s="708">
        <f t="shared" si="13"/>
        <v>100</v>
      </c>
      <c r="V33" s="707" t="s">
        <v>14</v>
      </c>
      <c r="W33" s="708">
        <f t="shared" si="14"/>
        <v>100</v>
      </c>
      <c r="X33" s="709"/>
      <c r="Y33" s="3682"/>
      <c r="Z33" s="710" t="str">
        <f t="shared" si="15"/>
        <v>项目建筑规模</v>
      </c>
      <c r="AA33" s="1352">
        <f t="shared" si="3"/>
        <v>1</v>
      </c>
      <c r="AB33" s="1352">
        <f t="shared" si="4"/>
        <v>1</v>
      </c>
      <c r="AC33" s="1352">
        <f t="shared" si="5"/>
        <v>1</v>
      </c>
    </row>
    <row r="34" spans="1:29" ht="15">
      <c r="A34" s="423"/>
      <c r="B34" s="375" t="s">
        <v>1698</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80"/>
      <c r="Q34" s="1351" t="str">
        <f t="shared" si="11"/>
        <v>建筑结构</v>
      </c>
      <c r="R34" s="704" t="s">
        <v>14</v>
      </c>
      <c r="S34" s="705">
        <f t="shared" si="12"/>
        <v>100</v>
      </c>
      <c r="T34" s="704" t="s">
        <v>14</v>
      </c>
      <c r="U34" s="705">
        <f t="shared" si="13"/>
        <v>100</v>
      </c>
      <c r="V34" s="704" t="s">
        <v>14</v>
      </c>
      <c r="W34" s="705">
        <f t="shared" si="14"/>
        <v>100</v>
      </c>
      <c r="X34" s="1354"/>
      <c r="Y34" s="368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0"/>
      <c r="Q35" s="1351" t="str">
        <f t="shared" si="11"/>
        <v>公共部分装修</v>
      </c>
      <c r="R35" s="704" t="s">
        <v>14</v>
      </c>
      <c r="S35" s="705">
        <f t="shared" si="12"/>
        <v>100</v>
      </c>
      <c r="T35" s="704" t="s">
        <v>14</v>
      </c>
      <c r="U35" s="705">
        <f t="shared" si="13"/>
        <v>100</v>
      </c>
      <c r="V35" s="704" t="s">
        <v>14</v>
      </c>
      <c r="W35" s="705">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f>C36</f>
        <v>0.7</v>
      </c>
      <c r="F36" s="412">
        <f>LOOKUP(E36,110:110,111:111)-LOOKUP(C36,110:110,111:111)+100</f>
        <v>100</v>
      </c>
      <c r="G36" s="425">
        <f>E36</f>
        <v>0.7</v>
      </c>
      <c r="H36" s="412">
        <f>LOOKUP(G36,110:110,111:111)-LOOKUP(C36,110:110,111:111)+100</f>
        <v>100</v>
      </c>
      <c r="I36" s="425">
        <f>G36</f>
        <v>0.7</v>
      </c>
      <c r="J36" s="386">
        <f>LOOKUP(I36,110:110,111:111)-LOOKUP(C36,110:110,111:111)+100</f>
        <v>100</v>
      </c>
      <c r="K36" s="561">
        <v>1</v>
      </c>
      <c r="L36" s="2721"/>
      <c r="M36" s="2715"/>
      <c r="N36" s="2715"/>
      <c r="O36" s="2715"/>
      <c r="P36" s="3680"/>
      <c r="Q36" s="1351" t="str">
        <f t="shared" si="11"/>
        <v>成新度</v>
      </c>
      <c r="R36" s="704" t="s">
        <v>14</v>
      </c>
      <c r="S36" s="705">
        <f t="shared" si="12"/>
        <v>100</v>
      </c>
      <c r="T36" s="704" t="s">
        <v>14</v>
      </c>
      <c r="U36" s="705">
        <f t="shared" si="13"/>
        <v>100</v>
      </c>
      <c r="V36" s="704" t="s">
        <v>14</v>
      </c>
      <c r="W36" s="705">
        <f t="shared" si="14"/>
        <v>100</v>
      </c>
      <c r="X36" s="1354"/>
      <c r="Y36" s="3682"/>
      <c r="Z36" s="1355" t="str">
        <f t="shared" si="15"/>
        <v>成新度</v>
      </c>
      <c r="AA36" s="1352">
        <f t="shared" si="3"/>
        <v>1</v>
      </c>
      <c r="AB36" s="1352">
        <f t="shared" si="4"/>
        <v>1</v>
      </c>
      <c r="AC36" s="1352">
        <f t="shared" si="5"/>
        <v>1</v>
      </c>
    </row>
    <row r="37" spans="1:29" s="108" customFormat="1" ht="15">
      <c r="A37" s="424"/>
      <c r="B37" s="375" t="s">
        <v>1787</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680"/>
      <c r="Q37" s="1342" t="str">
        <f t="shared" si="11"/>
        <v>市政基础设施</v>
      </c>
      <c r="R37" s="700" t="s">
        <v>14</v>
      </c>
      <c r="S37" s="701">
        <f t="shared" si="12"/>
        <v>100</v>
      </c>
      <c r="T37" s="700" t="s">
        <v>14</v>
      </c>
      <c r="U37" s="701">
        <f t="shared" si="13"/>
        <v>100</v>
      </c>
      <c r="V37" s="700" t="s">
        <v>14</v>
      </c>
      <c r="W37" s="701">
        <f t="shared" si="14"/>
        <v>100</v>
      </c>
      <c r="X37" s="702"/>
      <c r="Y37" s="3682"/>
      <c r="Z37" s="52" t="str">
        <f t="shared" si="15"/>
        <v>市政基础设施</v>
      </c>
      <c r="AA37" s="703">
        <f t="shared" si="3"/>
        <v>1</v>
      </c>
      <c r="AB37" s="703">
        <f t="shared" si="4"/>
        <v>1</v>
      </c>
      <c r="AC37" s="703">
        <f t="shared" si="5"/>
        <v>1</v>
      </c>
    </row>
    <row r="38" spans="1:29" ht="15">
      <c r="A38" s="423"/>
      <c r="B38" s="375" t="s">
        <v>1788</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680" t="s">
        <v>1696</v>
      </c>
      <c r="Q38" s="1351" t="str">
        <f t="shared" si="11"/>
        <v>业态</v>
      </c>
      <c r="R38" s="704" t="s">
        <v>14</v>
      </c>
      <c r="S38" s="705">
        <f t="shared" si="12"/>
        <v>100</v>
      </c>
      <c r="T38" s="704" t="s">
        <v>14</v>
      </c>
      <c r="U38" s="705">
        <f t="shared" si="13"/>
        <v>100</v>
      </c>
      <c r="V38" s="704" t="s">
        <v>14</v>
      </c>
      <c r="W38" s="705">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680"/>
      <c r="Q39" s="1351" t="str">
        <f t="shared" si="11"/>
        <v>层高</v>
      </c>
      <c r="R39" s="704" t="s">
        <v>14</v>
      </c>
      <c r="S39" s="705">
        <f t="shared" si="12"/>
        <v>100</v>
      </c>
      <c r="T39" s="704" t="s">
        <v>14</v>
      </c>
      <c r="U39" s="705">
        <f t="shared" si="13"/>
        <v>100</v>
      </c>
      <c r="V39" s="704" t="s">
        <v>14</v>
      </c>
      <c r="W39" s="705">
        <f t="shared" si="14"/>
        <v>100</v>
      </c>
      <c r="X39" s="1354"/>
      <c r="Y39" s="368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0"/>
      <c r="Q40" s="1351" t="str">
        <f t="shared" si="11"/>
        <v>单套建筑面积</v>
      </c>
      <c r="R40" s="704" t="s">
        <v>14</v>
      </c>
      <c r="S40" s="705">
        <f t="shared" si="12"/>
        <v>100</v>
      </c>
      <c r="T40" s="704" t="s">
        <v>14</v>
      </c>
      <c r="U40" s="705">
        <f t="shared" si="13"/>
        <v>100</v>
      </c>
      <c r="V40" s="704" t="s">
        <v>14</v>
      </c>
      <c r="W40" s="705">
        <f t="shared" si="14"/>
        <v>100</v>
      </c>
      <c r="X40" s="1354"/>
      <c r="Y40" s="368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0"/>
      <c r="Q41" s="706" t="str">
        <f t="shared" si="11"/>
        <v>进深比</v>
      </c>
      <c r="R41" s="707" t="s">
        <v>14</v>
      </c>
      <c r="S41" s="708">
        <f t="shared" si="12"/>
        <v>100</v>
      </c>
      <c r="T41" s="707" t="s">
        <v>14</v>
      </c>
      <c r="U41" s="708">
        <f t="shared" si="13"/>
        <v>100</v>
      </c>
      <c r="V41" s="707" t="s">
        <v>14</v>
      </c>
      <c r="W41" s="708">
        <f t="shared" si="14"/>
        <v>100</v>
      </c>
      <c r="X41" s="709"/>
      <c r="Y41" s="3682"/>
      <c r="Z41" s="710" t="str">
        <f t="shared" si="15"/>
        <v>进深比</v>
      </c>
      <c r="AA41" s="1352">
        <f t="shared" si="3"/>
        <v>1</v>
      </c>
      <c r="AB41" s="1352">
        <f t="shared" si="4"/>
        <v>1</v>
      </c>
      <c r="AC41" s="1352">
        <f t="shared" si="5"/>
        <v>1</v>
      </c>
    </row>
    <row r="42" spans="1:29" ht="15">
      <c r="A42" s="423"/>
      <c r="B42" s="375" t="s">
        <v>1792</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680"/>
      <c r="Q42" s="1351" t="str">
        <f t="shared" si="11"/>
        <v>内部装修</v>
      </c>
      <c r="R42" s="704" t="s">
        <v>14</v>
      </c>
      <c r="S42" s="705">
        <f t="shared" si="12"/>
        <v>100</v>
      </c>
      <c r="T42" s="704" t="s">
        <v>14</v>
      </c>
      <c r="U42" s="705">
        <f t="shared" si="13"/>
        <v>100</v>
      </c>
      <c r="V42" s="704" t="s">
        <v>14</v>
      </c>
      <c r="W42" s="705">
        <f t="shared" si="14"/>
        <v>100</v>
      </c>
      <c r="X42" s="1354"/>
      <c r="Y42" s="3682"/>
      <c r="Z42" s="1355" t="str">
        <f t="shared" si="15"/>
        <v>内部装修</v>
      </c>
      <c r="AA42" s="1352">
        <f t="shared" si="3"/>
        <v>1</v>
      </c>
      <c r="AB42" s="1352">
        <f t="shared" si="4"/>
        <v>1</v>
      </c>
      <c r="AC42" s="1352">
        <f t="shared" si="5"/>
        <v>1</v>
      </c>
    </row>
    <row r="43" spans="1:29" ht="15">
      <c r="A43" s="423"/>
      <c r="B43" s="375" t="s">
        <v>1707</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80"/>
      <c r="Q43" s="1351" t="str">
        <f t="shared" si="11"/>
        <v>内部装修维护情况</v>
      </c>
      <c r="R43" s="704" t="s">
        <v>14</v>
      </c>
      <c r="S43" s="705">
        <f t="shared" si="12"/>
        <v>100</v>
      </c>
      <c r="T43" s="704" t="s">
        <v>14</v>
      </c>
      <c r="U43" s="705">
        <f t="shared" si="13"/>
        <v>100</v>
      </c>
      <c r="V43" s="704" t="s">
        <v>14</v>
      </c>
      <c r="W43" s="705">
        <f t="shared" si="14"/>
        <v>100</v>
      </c>
      <c r="X43" s="1354"/>
      <c r="Y43" s="368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0"/>
      <c r="Q44" s="1342">
        <f t="shared" si="11"/>
        <v>111</v>
      </c>
      <c r="R44" s="700" t="s">
        <v>14</v>
      </c>
      <c r="S44" s="701">
        <f t="shared" si="12"/>
        <v>100</v>
      </c>
      <c r="T44" s="700" t="s">
        <v>14</v>
      </c>
      <c r="U44" s="701">
        <f t="shared" si="13"/>
        <v>100</v>
      </c>
      <c r="V44" s="700" t="s">
        <v>14</v>
      </c>
      <c r="W44" s="701">
        <f t="shared" si="14"/>
        <v>100</v>
      </c>
      <c r="X44" s="702"/>
      <c r="Y44" s="368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0"/>
      <c r="Q45" s="1351">
        <f t="shared" si="11"/>
        <v>111</v>
      </c>
      <c r="R45" s="704" t="s">
        <v>14</v>
      </c>
      <c r="S45" s="705">
        <f t="shared" si="12"/>
        <v>100</v>
      </c>
      <c r="T45" s="704" t="s">
        <v>14</v>
      </c>
      <c r="U45" s="705">
        <f t="shared" si="13"/>
        <v>100</v>
      </c>
      <c r="V45" s="704" t="s">
        <v>14</v>
      </c>
      <c r="W45" s="705">
        <f t="shared" si="14"/>
        <v>100</v>
      </c>
      <c r="X45" s="1354"/>
      <c r="Y45" s="368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70" t="str">
        <f>A47</f>
        <v>成交单价（元/平方米）</v>
      </c>
      <c r="Q47" s="3670"/>
      <c r="R47" s="3684">
        <f>E47</f>
        <v>30000</v>
      </c>
      <c r="S47" s="3684"/>
      <c r="T47" s="3684">
        <f>G47</f>
        <v>30000</v>
      </c>
      <c r="U47" s="3684"/>
      <c r="V47" s="3684">
        <f>I47</f>
        <v>30000</v>
      </c>
      <c r="W47" s="3684"/>
      <c r="X47" s="689"/>
      <c r="Y47" s="711"/>
      <c r="Z47" s="689"/>
      <c r="AA47" s="689"/>
      <c r="AB47" s="689"/>
      <c r="AC47" s="689"/>
    </row>
    <row r="48" spans="1:29" ht="15.75" thickBot="1">
      <c r="A48" s="437" t="s">
        <v>1793</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670" t="str">
        <f>A48</f>
        <v>比较价值（元/平方米）</v>
      </c>
      <c r="Q48" s="3670"/>
      <c r="R48" s="3671">
        <f>IF(F1="售价",ROUND(PRODUCT(R47,AA7:AA46),0),ROUND(PRODUCT(R47,AA7:AA46),1))</f>
        <v>30000</v>
      </c>
      <c r="S48" s="3671"/>
      <c r="T48" s="3671">
        <f>IF(F1="售价",ROUND(PRODUCT(T47,AB7:AB46),0),ROUND(PRODUCT(T47,AB7:AB46),1))</f>
        <v>30000</v>
      </c>
      <c r="U48" s="3671"/>
      <c r="V48" s="3671">
        <f>IF(F1="售价",ROUND(PRODUCT(V47,AC7:AC46),0),ROUND(PRODUCT(V47,AC7:AC46),1))</f>
        <v>30000</v>
      </c>
      <c r="W48" s="3671"/>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72" t="str">
        <f>A49</f>
        <v>估价对象XX用房的比较价值（楼面单价，元/平方米）</v>
      </c>
      <c r="Q49" s="3673"/>
      <c r="R49" s="3674">
        <f>IF(F1="售价",ROUND(IF(D48="简单平均",AVERAGE(R48:V48),R48*F48+T48*H48+V48*J48),0),ROUND(IF(D48="简单平均",AVERAGE(R48:V48),R48*F48+T48*H48+V48*J48),1))</f>
        <v>30000</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0"/>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8" t="s">
        <v>3396</v>
      </c>
      <c r="D86" s="3448" t="s">
        <v>3398</v>
      </c>
      <c r="E86" s="3448"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3405</v>
      </c>
      <c r="D100" s="3449" t="s">
        <v>3406</v>
      </c>
      <c r="E100" s="3449" t="s">
        <v>3419</v>
      </c>
      <c r="F100" s="3449"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8"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8" t="s">
        <v>3415</v>
      </c>
      <c r="D114" s="3448"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8" t="s">
        <v>3420</v>
      </c>
      <c r="D116" s="3448"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8" t="s">
        <v>3424</v>
      </c>
      <c r="D122" s="3448" t="s">
        <v>3425</v>
      </c>
      <c r="E122" s="3448"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L54" sqref="L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811.41120000000001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33669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5306541</v>
      </c>
      <c r="D5" s="211" t="s">
        <v>1469</v>
      </c>
      <c r="E5" s="212" t="s">
        <v>1470</v>
      </c>
      <c r="F5" s="212" t="s">
        <v>1471</v>
      </c>
      <c r="G5" s="213"/>
    </row>
    <row r="6" spans="1:8" s="214" customFormat="1" ht="13.5" customHeight="1">
      <c r="A6" s="777" t="s">
        <v>1472</v>
      </c>
      <c r="B6" s="215" t="s">
        <v>1473</v>
      </c>
      <c r="C6" s="216">
        <f>ROUND(基准地价修正!C33*基准地价修正!D33,0)</f>
        <v>5102708</v>
      </c>
      <c r="D6" s="217"/>
      <c r="E6" s="218"/>
      <c r="F6" s="218"/>
      <c r="G6" s="219"/>
    </row>
    <row r="7" spans="1:8" s="214" customFormat="1" ht="13.5" customHeight="1">
      <c r="A7" s="777" t="s">
        <v>1474</v>
      </c>
      <c r="B7" s="215" t="s">
        <v>1475</v>
      </c>
      <c r="C7" s="220">
        <f>ROUND(C6*F7,0)</f>
        <v>155633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48200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48200</v>
      </c>
      <c r="D10" s="844">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241</v>
      </c>
      <c r="E19" s="211">
        <f>'数据-取费表'!B31</f>
        <v>200</v>
      </c>
      <c r="F19" s="231"/>
      <c r="G19" s="1855" t="s">
        <v>3436</v>
      </c>
    </row>
    <row r="20" spans="1:7" s="214" customFormat="1" ht="13.5" customHeight="1">
      <c r="A20" s="255" t="s">
        <v>1574</v>
      </c>
      <c r="B20" s="210" t="s">
        <v>1575</v>
      </c>
      <c r="C20" s="232">
        <f ca="1">ROUND((C5+C19)*F20,0)</f>
        <v>106131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184907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183076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1831</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1082534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1082534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7235041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933875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79" t="s">
        <v>351</v>
      </c>
      <c r="B35" s="215" t="s">
        <v>1527</v>
      </c>
      <c r="C35" s="220">
        <f ca="1">ROUND(C34*F35,0)</f>
        <v>25305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48200</v>
      </c>
      <c r="D37" s="217">
        <f ca="1">D19</f>
        <v>241</v>
      </c>
      <c r="E37" s="249">
        <f>'数据-取费表'!B35</f>
        <v>200</v>
      </c>
      <c r="F37" s="259"/>
      <c r="G37" s="261"/>
    </row>
    <row r="38" spans="1:7" ht="13.5" customHeight="1">
      <c r="A38" s="779" t="s">
        <v>354</v>
      </c>
      <c r="B38" s="215" t="s">
        <v>1533</v>
      </c>
      <c r="C38" s="220">
        <f ca="1">ROUND(C34*F38,0)</f>
        <v>16870</v>
      </c>
      <c r="D38" s="220"/>
      <c r="E38" s="220"/>
      <c r="F38" s="259">
        <f>'数据-取费表'!B36</f>
        <v>0.02</v>
      </c>
      <c r="G38" s="219" t="s">
        <v>1528</v>
      </c>
    </row>
    <row r="39" spans="1:7" s="214" customFormat="1" ht="13.5" customHeight="1">
      <c r="A39" s="255" t="s">
        <v>1534</v>
      </c>
      <c r="B39" s="210" t="s">
        <v>1535</v>
      </c>
      <c r="C39" s="232">
        <f ca="1">ROUND(C33*F20,0)</f>
        <v>18678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16431</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16109</v>
      </c>
      <c r="D42" s="238"/>
      <c r="E42" s="238"/>
      <c r="F42" s="239"/>
      <c r="G42" s="3662" t="s">
        <v>1591</v>
      </c>
    </row>
    <row r="43" spans="1:7" ht="13.5" customHeight="1">
      <c r="A43" s="779" t="s">
        <v>347</v>
      </c>
      <c r="B43" s="215" t="s">
        <v>1545</v>
      </c>
      <c r="C43" s="238">
        <f ca="1">ROUND(IF('数据-取费表'!B22&lt;=1,C39*F22*'数据-取费表'!B20/2,C39*(POWER((1+F22),'数据-取费表'!B20/2)-1)),0)</f>
        <v>322</v>
      </c>
      <c r="D43" s="238"/>
      <c r="E43" s="238"/>
      <c r="F43" s="239"/>
      <c r="G43" s="3663"/>
    </row>
    <row r="44" spans="1:7" ht="13.5" customHeight="1">
      <c r="A44" s="779" t="s">
        <v>348</v>
      </c>
      <c r="B44" s="215" t="s">
        <v>1546</v>
      </c>
      <c r="C44" s="238">
        <f ca="1">ROUND(IF('数据-取费表'!B22&lt;=1,C40*F22*'数据-取费表'!B20/2,C40*(POWER((1+F22),'数据-取费表'!B20/2)-1)),4)</f>
        <v>2.9999999999999997E-4</v>
      </c>
      <c r="D44" s="238"/>
      <c r="E44" s="238"/>
      <c r="F44" s="239"/>
      <c r="G44" s="3664"/>
    </row>
    <row r="45" spans="1:7" s="214" customFormat="1" ht="13.5" customHeight="1">
      <c r="A45" s="255" t="s">
        <v>1547</v>
      </c>
      <c r="B45" s="244" t="s">
        <v>1513</v>
      </c>
      <c r="C45" s="245">
        <f ca="1">C46</f>
        <v>190511</v>
      </c>
      <c r="D45" s="235">
        <f ca="1">C47</f>
        <v>4.0000000000000001E-3</v>
      </c>
      <c r="E45" s="236" t="s">
        <v>1539</v>
      </c>
      <c r="F45" s="246">
        <f ca="1">F27</f>
        <v>0.2</v>
      </c>
      <c r="G45" s="247" t="s">
        <v>1548</v>
      </c>
    </row>
    <row r="46" spans="1:7" s="214" customFormat="1" ht="13.5" customHeight="1">
      <c r="A46" s="779" t="s">
        <v>346</v>
      </c>
      <c r="B46" s="248" t="s">
        <v>1549</v>
      </c>
      <c r="C46" s="249">
        <f ca="1">ROUND((C33+C39)*F27,0)</f>
        <v>190511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1255816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879071</v>
      </c>
      <c r="D51" s="232"/>
      <c r="E51" s="232"/>
      <c r="F51" s="264"/>
      <c r="G51" s="234" t="s">
        <v>1560</v>
      </c>
    </row>
    <row r="52" spans="1:7" s="208" customFormat="1" ht="16.5" thickBot="1">
      <c r="A52" s="265" t="s">
        <v>1561</v>
      </c>
      <c r="B52" s="266"/>
      <c r="C52" s="267">
        <f ca="1">C31+C51</f>
        <v>8114112</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185.5642</v>
      </c>
      <c r="C2" s="1386" t="s">
        <v>879</v>
      </c>
      <c r="D2" s="1470">
        <f ca="1">C40+J29+L46</f>
        <v>1855642</v>
      </c>
      <c r="E2" s="1387" t="s">
        <v>880</v>
      </c>
      <c r="F2" s="1388"/>
      <c r="G2" s="2705"/>
      <c r="H2" s="2694"/>
      <c r="I2" s="2694"/>
      <c r="J2" s="2694"/>
      <c r="K2" s="2695"/>
      <c r="L2" s="2694"/>
      <c r="M2" s="2694"/>
    </row>
    <row r="3" spans="1:37" ht="18" customHeight="1" thickBot="1">
      <c r="A3" s="1389" t="s">
        <v>881</v>
      </c>
      <c r="B3" s="1390">
        <f ca="1">IF(ISERROR(D2/F43),0,ROUND(D2/F43,0))</f>
        <v>7700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198168</v>
      </c>
      <c r="D5" s="1363" t="s">
        <v>889</v>
      </c>
      <c r="E5" s="1070"/>
      <c r="F5" s="1071"/>
      <c r="G5" s="1383"/>
      <c r="H5" s="299">
        <v>1</v>
      </c>
      <c r="I5" s="300" t="s">
        <v>888</v>
      </c>
      <c r="J5" s="1069">
        <f ca="1">J6+J10+J12</f>
        <v>0</v>
      </c>
      <c r="K5" s="1363" t="s">
        <v>889</v>
      </c>
      <c r="L5" s="1070"/>
      <c r="M5" s="1071"/>
    </row>
    <row r="6" spans="1:37" ht="18" customHeight="1">
      <c r="A6" s="1068" t="s">
        <v>398</v>
      </c>
      <c r="B6" s="3667" t="s">
        <v>694</v>
      </c>
      <c r="C6" s="1073">
        <f ca="1">ROUND(F6*F8*F7*(1-F9),0)</f>
        <v>197921</v>
      </c>
      <c r="D6" s="155" t="s">
        <v>2103</v>
      </c>
      <c r="E6" s="302" t="s">
        <v>696</v>
      </c>
      <c r="F6" s="303">
        <f ca="1">INDIRECT("'数据-取费表'!u"&amp;$G$1)</f>
        <v>2.5</v>
      </c>
      <c r="G6" s="1383"/>
      <c r="H6" s="1068" t="s">
        <v>398</v>
      </c>
      <c r="I6" s="3667" t="s">
        <v>694</v>
      </c>
      <c r="J6" s="301">
        <f ca="1">ROUND(M6*M8*M7*(1-M9),0)</f>
        <v>0</v>
      </c>
      <c r="K6" s="1375" t="s">
        <v>2104</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241</v>
      </c>
      <c r="G7" s="1383"/>
      <c r="H7" s="304"/>
      <c r="I7" s="3668"/>
      <c r="J7" s="306"/>
      <c r="K7" s="307"/>
      <c r="L7" s="302" t="s">
        <v>697</v>
      </c>
      <c r="M7" s="303">
        <f ca="1">F7</f>
        <v>241</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247</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879071</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843500</v>
      </c>
      <c r="D14" s="1344" t="s">
        <v>708</v>
      </c>
      <c r="E14" s="1341"/>
      <c r="F14" s="319"/>
      <c r="G14" s="1383"/>
      <c r="H14" s="981" t="s">
        <v>398</v>
      </c>
      <c r="I14" s="302" t="s">
        <v>709</v>
      </c>
      <c r="J14" s="21">
        <f ca="1">C29</f>
        <v>1255816</v>
      </c>
      <c r="K14" s="12"/>
      <c r="L14" s="806"/>
      <c r="M14" s="807"/>
    </row>
    <row r="15" spans="1:37" s="1396" customFormat="1" ht="18" customHeight="1" thickBot="1">
      <c r="A15" s="981" t="s">
        <v>399</v>
      </c>
      <c r="B15" s="302" t="s">
        <v>710</v>
      </c>
      <c r="C15" s="21">
        <f ca="1">ROUND(C14*F15,0)</f>
        <v>25305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8423</v>
      </c>
      <c r="K16" s="1086" t="s">
        <v>715</v>
      </c>
      <c r="L16" s="1087"/>
      <c r="M16" s="1071"/>
    </row>
    <row r="17" spans="1:37" s="1396" customFormat="1" ht="18" customHeight="1">
      <c r="A17" s="981" t="s">
        <v>681</v>
      </c>
      <c r="B17" s="302" t="s">
        <v>716</v>
      </c>
      <c r="C17" s="21">
        <f ca="1">ROUND(F17*(F43+INDIRECT("'数据-取费表'!S"&amp;$G$1)),0)</f>
        <v>48200</v>
      </c>
      <c r="D17" s="302" t="s">
        <v>717</v>
      </c>
      <c r="E17" s="302" t="s">
        <v>718</v>
      </c>
      <c r="F17" s="23">
        <f>'数据-取费表'!B35</f>
        <v>200</v>
      </c>
      <c r="G17" s="1395"/>
      <c r="H17" s="981" t="s">
        <v>398</v>
      </c>
      <c r="I17" s="302" t="s">
        <v>719</v>
      </c>
      <c r="J17" s="2315">
        <f ca="1">ROUND(IF(AND(项目基本情况!B11="自然人",项目基本情况!B10="北京市"),J6*M17/(1+'数据-取费表'!C42),J18+J19+J20),0)</f>
        <v>2144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16870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933875</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18678</v>
      </c>
      <c r="D20" s="323" t="s">
        <v>729</v>
      </c>
      <c r="E20" s="302" t="s">
        <v>712</v>
      </c>
      <c r="F20" s="322">
        <f>'数据-取费表'!B37</f>
        <v>0.02</v>
      </c>
      <c r="G20" s="1395"/>
      <c r="H20" s="981" t="s">
        <v>680</v>
      </c>
      <c r="I20" s="155" t="s">
        <v>730</v>
      </c>
      <c r="J20" s="22">
        <f ca="1">ROUND(M20*M21,0)</f>
        <v>2144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6279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16431</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-8423</v>
      </c>
      <c r="K25" s="1094" t="s">
        <v>753</v>
      </c>
      <c r="L25" s="1095"/>
      <c r="M25" s="1096"/>
    </row>
    <row r="26" spans="1:37" ht="18" customHeight="1">
      <c r="A26" s="981" t="s">
        <v>397</v>
      </c>
      <c r="B26" s="302" t="s">
        <v>754</v>
      </c>
      <c r="C26" s="21">
        <f ca="1">ROUND((C19+C20)*F26,0)</f>
        <v>190511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1255816</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43720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35131</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10367</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22620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2144</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ROUND(C29*F36,0)</f>
        <v>6279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1319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991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154448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1675109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6951</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f ca="1">ROUND((C68-C40)/10000,4)</f>
        <v>-176.92009999999999</v>
      </c>
      <c r="D45" s="3430" t="s">
        <v>3352</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180533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1675109</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180533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1996</v>
      </c>
      <c r="K49" s="1422" t="s">
        <v>824</v>
      </c>
      <c r="L49" s="1426"/>
      <c r="O49" s="1427" t="s">
        <v>405</v>
      </c>
      <c r="P49" s="1418" t="s">
        <v>825</v>
      </c>
      <c r="Q49" s="1419">
        <f ca="1">C29</f>
        <v>1255816</v>
      </c>
      <c r="R49" s="1419" t="s">
        <v>818</v>
      </c>
    </row>
    <row r="50" spans="1:18" s="1383" customFormat="1" ht="13.5" thickBot="1">
      <c r="A50" s="975"/>
      <c r="B50" s="978"/>
      <c r="C50" s="979"/>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1468275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14.15</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14.15</v>
      </c>
      <c r="K53" s="3665" t="s">
        <v>837</v>
      </c>
      <c r="L53" s="3666"/>
      <c r="O53" s="1417" t="s">
        <v>409</v>
      </c>
      <c r="P53" s="1418" t="s">
        <v>838</v>
      </c>
      <c r="Q53" s="1419">
        <f ca="1">Q47+Q48</f>
        <v>1855642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879071</v>
      </c>
      <c r="D56" s="1446"/>
      <c r="E56" s="1447"/>
      <c r="F56" s="1439"/>
      <c r="I56" s="1448" t="s">
        <v>842</v>
      </c>
      <c r="J56" s="1449" t="s">
        <v>3382</v>
      </c>
      <c r="K56" s="1420" t="s">
        <v>843</v>
      </c>
      <c r="L56" s="1423" t="str">
        <f ca="1">IF(L48&lt;J51,"——",L48-J51)</f>
        <v>——</v>
      </c>
      <c r="O56" s="1417" t="s">
        <v>403</v>
      </c>
      <c r="P56" s="1418" t="s">
        <v>817</v>
      </c>
      <c r="Q56" s="1419">
        <f ca="1">C40+J29</f>
        <v>1675109</v>
      </c>
      <c r="R56" s="1419" t="s">
        <v>818</v>
      </c>
    </row>
    <row r="57" spans="1:18" s="1383" customFormat="1" ht="24.75" thickBot="1">
      <c r="A57" s="1450"/>
      <c r="B57" s="949" t="s">
        <v>767</v>
      </c>
      <c r="C57" s="238">
        <f ca="1">C29</f>
        <v>1255816</v>
      </c>
      <c r="D57" s="1451"/>
      <c r="E57" s="1452"/>
      <c r="F57" s="1453"/>
      <c r="I57" s="1454" t="s">
        <v>844</v>
      </c>
      <c r="J57" s="1455">
        <f ca="1">IF(OR(M47="住宅",J51&lt;L48,J56="是"),"——",J51-L48)</f>
        <v>17.850000000000001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9742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2144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502326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180533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2144</v>
      </c>
      <c r="D62" s="964" t="s">
        <v>786</v>
      </c>
      <c r="E62" s="949" t="s">
        <v>787</v>
      </c>
      <c r="F62" s="325">
        <f t="shared" si="0"/>
        <v>1.5</v>
      </c>
      <c r="I62" s="1461" t="s">
        <v>858</v>
      </c>
      <c r="J62" s="1462" t="s">
        <v>859</v>
      </c>
      <c r="K62" s="1462" t="s">
        <v>860</v>
      </c>
      <c r="L62" s="1462" t="s">
        <v>861</v>
      </c>
      <c r="M62" s="1463" t="s">
        <v>862</v>
      </c>
      <c r="O62" s="1417" t="s">
        <v>409</v>
      </c>
      <c r="P62" s="1418" t="s">
        <v>863</v>
      </c>
      <c r="Q62" s="1419">
        <f ca="1">Q56+Q57</f>
        <v>1675109</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6279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1319</v>
      </c>
      <c r="D65" s="963" t="s">
        <v>743</v>
      </c>
      <c r="E65" s="949" t="s">
        <v>744</v>
      </c>
      <c r="F65" s="330">
        <f t="shared" ca="1" si="0"/>
        <v>1.5E-3</v>
      </c>
      <c r="I65" s="1461" t="s">
        <v>867</v>
      </c>
      <c r="J65" s="1462">
        <v>40</v>
      </c>
      <c r="K65" s="1462">
        <v>30</v>
      </c>
      <c r="L65" s="1462">
        <v>50</v>
      </c>
      <c r="M65" s="1464">
        <v>0.02</v>
      </c>
      <c r="O65" s="1417" t="s">
        <v>403</v>
      </c>
      <c r="P65" s="1418" t="s">
        <v>868</v>
      </c>
      <c r="Q65" s="1419">
        <f ca="1">C40+J29</f>
        <v>1675109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-9742</v>
      </c>
      <c r="D67" s="962" t="s">
        <v>753</v>
      </c>
      <c r="E67" s="967"/>
      <c r="F67" s="968"/>
      <c r="O67" s="1427" t="s">
        <v>405</v>
      </c>
      <c r="P67" s="1418" t="s">
        <v>850</v>
      </c>
      <c r="Q67" s="1465">
        <f ca="1">L51</f>
        <v>1468275</v>
      </c>
      <c r="R67" s="1419" t="s">
        <v>870</v>
      </c>
    </row>
    <row r="68" spans="1:18" s="1383" customFormat="1" ht="16.5" thickBot="1">
      <c r="A68" s="946" t="s">
        <v>395</v>
      </c>
      <c r="B68" s="947" t="s">
        <v>774</v>
      </c>
      <c r="C68" s="301">
        <f ca="1">ROUND(C67*(1-((1+F70)/(1+F68))^F69)/(F68-F70),0)</f>
        <v>-94092</v>
      </c>
      <c r="D68" s="964" t="s">
        <v>758</v>
      </c>
      <c r="E68" s="949" t="s">
        <v>759</v>
      </c>
      <c r="F68" s="312">
        <f ca="1">F40</f>
        <v>5.5E-2</v>
      </c>
      <c r="O68" s="1427" t="s">
        <v>406</v>
      </c>
      <c r="P68" s="1466" t="s">
        <v>871</v>
      </c>
      <c r="Q68" s="1419">
        <f ca="1">ROUND(Q69-Q70*Q71,0)</f>
        <v>92913</v>
      </c>
      <c r="R68" s="1419" t="s">
        <v>414</v>
      </c>
    </row>
    <row r="69" spans="1:18" s="1383" customFormat="1" ht="13.5" thickBot="1">
      <c r="A69" s="950"/>
      <c r="B69" s="951"/>
      <c r="C69" s="306"/>
      <c r="D69" s="969" t="s">
        <v>762</v>
      </c>
      <c r="E69" s="949" t="s">
        <v>763</v>
      </c>
      <c r="F69" s="333">
        <f ca="1">F41</f>
        <v>14.15</v>
      </c>
      <c r="O69" s="1427" t="s">
        <v>411</v>
      </c>
      <c r="P69" s="1466" t="s">
        <v>872</v>
      </c>
      <c r="Q69" s="1419">
        <f ca="1">C39</f>
        <v>154448</v>
      </c>
      <c r="R69" s="1419" t="s">
        <v>818</v>
      </c>
    </row>
    <row r="70" spans="1:18" s="1383" customFormat="1" ht="13.5" thickBot="1">
      <c r="A70" s="953"/>
      <c r="B70" s="954"/>
      <c r="C70" s="310"/>
      <c r="D70" s="965"/>
      <c r="E70" s="949" t="s">
        <v>766</v>
      </c>
      <c r="F70" s="1053"/>
      <c r="O70" s="1427" t="s">
        <v>412</v>
      </c>
      <c r="P70" s="1466" t="s">
        <v>873</v>
      </c>
      <c r="Q70" s="1419">
        <f ca="1">C13</f>
        <v>879071</v>
      </c>
      <c r="R70" s="1419" t="s">
        <v>818</v>
      </c>
    </row>
    <row r="71" spans="1:18" s="1383" customFormat="1" ht="13.5" thickBot="1">
      <c r="A71" s="970" t="s">
        <v>396</v>
      </c>
      <c r="B71" s="971" t="s">
        <v>776</v>
      </c>
      <c r="C71" s="336">
        <f ca="1">ROUND(C68/F71,0)</f>
        <v>-390</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61535</v>
      </c>
      <c r="D75" s="1383"/>
      <c r="E75" s="1383"/>
      <c r="F75" s="1383"/>
      <c r="K75" s="1401"/>
      <c r="L75" s="1383"/>
      <c r="O75" s="1417" t="s">
        <v>409</v>
      </c>
      <c r="P75" s="1418" t="s">
        <v>838</v>
      </c>
      <c r="Q75" s="1419">
        <f ca="1">Q65+Q66</f>
        <v>1675109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0.60199999999999998</v>
      </c>
    </row>
    <row r="80" spans="1:18">
      <c r="B80" s="340" t="s">
        <v>800</v>
      </c>
      <c r="C80" s="274">
        <f ca="1">ROUND(C75/C39,3)</f>
        <v>0.39800000000000002</v>
      </c>
    </row>
    <row r="81" spans="2:3">
      <c r="B81" s="270" t="s">
        <v>801</v>
      </c>
      <c r="C81" s="238"/>
    </row>
    <row r="82" spans="2:3">
      <c r="B82" s="273" t="s">
        <v>802</v>
      </c>
      <c r="C82" s="275">
        <f ca="1">1-C83</f>
        <v>0.47499999999999998</v>
      </c>
    </row>
    <row r="83" spans="2:3">
      <c r="B83" s="273" t="s">
        <v>803</v>
      </c>
      <c r="C83" s="274">
        <f ca="1">ROUND(C13/C40,3)</f>
        <v>0.52500000000000002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3358</v>
      </c>
      <c r="E2" s="3442"/>
      <c r="F2" s="2845"/>
      <c r="G2" s="2846"/>
      <c r="H2" s="2847"/>
      <c r="I2" s="2848"/>
      <c r="J2" s="3722" t="s">
        <v>2318</v>
      </c>
      <c r="K2" s="3723"/>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24" t="s">
        <v>2328</v>
      </c>
      <c r="K3" s="3725"/>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24" t="s">
        <v>2330</v>
      </c>
      <c r="K4" s="3725"/>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30" t="s">
        <v>2334</v>
      </c>
      <c r="B6" s="3731"/>
      <c r="C6" s="3732"/>
      <c r="D6" s="2869"/>
      <c r="E6" s="2870"/>
      <c r="F6" s="2871"/>
      <c r="G6" s="2872"/>
      <c r="H6" s="2847"/>
      <c r="I6" s="2848"/>
      <c r="J6" s="3716">
        <v>1</v>
      </c>
      <c r="K6" s="371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6"/>
      <c r="K7" s="371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33" t="s">
        <v>2348</v>
      </c>
      <c r="C8" s="3734"/>
      <c r="D8" s="2888" t="s">
        <v>2349</v>
      </c>
      <c r="E8" s="2889" t="s">
        <v>2350</v>
      </c>
      <c r="F8" s="2890" t="s">
        <v>2351</v>
      </c>
      <c r="G8" s="2891"/>
      <c r="H8" s="2847"/>
      <c r="I8" s="2848"/>
      <c r="J8" s="3716"/>
      <c r="K8" s="371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33" t="s">
        <v>2354</v>
      </c>
      <c r="C9" s="3734"/>
      <c r="D9" s="2888">
        <f>ROUND(D6*E9,0)</f>
        <v>0</v>
      </c>
      <c r="E9" s="2892"/>
      <c r="F9" s="2893" t="s">
        <v>2355</v>
      </c>
      <c r="G9" s="2872"/>
      <c r="H9" s="2847"/>
      <c r="I9" s="2848"/>
      <c r="J9" s="3716"/>
      <c r="K9" s="3718"/>
      <c r="L9" s="2882" t="s">
        <v>2356</v>
      </c>
      <c r="M9" s="2883"/>
      <c r="N9" s="2859"/>
      <c r="O9" s="2884"/>
      <c r="P9" s="2884"/>
      <c r="Q9" s="2885">
        <v>365</v>
      </c>
      <c r="R9" s="2886">
        <f t="shared" si="0"/>
        <v>0</v>
      </c>
      <c r="S9" s="2840"/>
      <c r="T9" s="2840"/>
      <c r="U9" s="2840"/>
      <c r="V9" s="2848"/>
    </row>
    <row r="10" spans="1:22" s="2852" customFormat="1" ht="13.15" customHeight="1">
      <c r="A10" s="2887">
        <v>2</v>
      </c>
      <c r="B10" s="3733" t="s">
        <v>2357</v>
      </c>
      <c r="C10" s="3734"/>
      <c r="D10" s="2888">
        <f>ROUND(D6*E10,0)</f>
        <v>0</v>
      </c>
      <c r="E10" s="2892"/>
      <c r="F10" s="2893" t="s">
        <v>2358</v>
      </c>
      <c r="G10" s="2872"/>
      <c r="H10" s="2847"/>
      <c r="I10" s="2848"/>
      <c r="J10" s="3716"/>
      <c r="K10" s="3718"/>
      <c r="L10" s="2882" t="s">
        <v>2359</v>
      </c>
      <c r="M10" s="2883"/>
      <c r="N10" s="2859"/>
      <c r="O10" s="2884"/>
      <c r="P10" s="2884"/>
      <c r="Q10" s="2885">
        <v>365</v>
      </c>
      <c r="R10" s="2886">
        <f t="shared" si="0"/>
        <v>0</v>
      </c>
      <c r="S10" s="2840"/>
      <c r="T10" s="2840"/>
      <c r="U10" s="2840"/>
      <c r="V10" s="2848"/>
    </row>
    <row r="11" spans="1:22" s="2852" customFormat="1" ht="13.15" customHeight="1">
      <c r="A11" s="2887">
        <v>3</v>
      </c>
      <c r="B11" s="3733" t="s">
        <v>2360</v>
      </c>
      <c r="C11" s="3734"/>
      <c r="D11" s="2888">
        <f>D12+D14+D15+D16</f>
        <v>0</v>
      </c>
      <c r="E11" s="2894" t="e">
        <f>D11/D6</f>
        <v>#DIV/0!</v>
      </c>
      <c r="F11" s="2890"/>
      <c r="G11" s="2891"/>
      <c r="H11" s="2847"/>
      <c r="I11" s="2848"/>
      <c r="J11" s="3716"/>
      <c r="K11" s="371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6" t="s">
        <v>2363</v>
      </c>
      <c r="C12" s="3727"/>
      <c r="D12" s="2896">
        <f>ROUND(D13*1.2%*(1-30%),0)</f>
        <v>0</v>
      </c>
      <c r="E12" s="2897">
        <v>1.2E-2</v>
      </c>
      <c r="F12" s="2890" t="s">
        <v>2364</v>
      </c>
      <c r="G12" s="2891"/>
      <c r="H12" s="2847"/>
      <c r="I12" s="2848"/>
      <c r="J12" s="3716"/>
      <c r="K12" s="371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6"/>
      <c r="K13" s="371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6" t="s">
        <v>2369</v>
      </c>
      <c r="C14" s="3727"/>
      <c r="D14" s="2896">
        <f>ROUND(E14*B5/10000,0)</f>
        <v>0</v>
      </c>
      <c r="E14" s="2885"/>
      <c r="F14" s="2890" t="s">
        <v>2370</v>
      </c>
      <c r="G14" s="2891"/>
      <c r="H14" s="2847"/>
      <c r="I14" s="2848"/>
      <c r="J14" s="3716"/>
      <c r="K14" s="371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6" t="s">
        <v>2373</v>
      </c>
      <c r="C15" s="3727"/>
      <c r="D15" s="2896">
        <f>ROUND(D6*E15,0)</f>
        <v>0</v>
      </c>
      <c r="E15" s="2897">
        <v>5.5E-2</v>
      </c>
      <c r="F15" s="2890" t="s">
        <v>2374</v>
      </c>
      <c r="G15" s="2872"/>
      <c r="H15" s="2847"/>
      <c r="I15" s="2848"/>
      <c r="J15" s="3716">
        <v>2</v>
      </c>
      <c r="K15" s="371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6" t="s">
        <v>2382</v>
      </c>
      <c r="C16" s="3727"/>
      <c r="D16" s="2907">
        <f>D6*E16</f>
        <v>0</v>
      </c>
      <c r="E16" s="2908"/>
      <c r="F16" s="2893" t="s">
        <v>2383</v>
      </c>
      <c r="G16" s="2872"/>
      <c r="H16" s="2847"/>
      <c r="I16" s="2848"/>
      <c r="J16" s="3716"/>
      <c r="K16" s="371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8" t="s">
        <v>2385</v>
      </c>
      <c r="C17" s="3729"/>
      <c r="D17" s="2910">
        <f>ROUND(D6*E17,0)</f>
        <v>0</v>
      </c>
      <c r="E17" s="2911"/>
      <c r="F17" s="2912" t="s">
        <v>2386</v>
      </c>
      <c r="G17" s="2872"/>
      <c r="H17" s="2847"/>
      <c r="I17" s="2848"/>
      <c r="J17" s="3716"/>
      <c r="K17" s="371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6"/>
      <c r="K18" s="371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6"/>
      <c r="K19" s="371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6"/>
      <c r="K21" s="371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6"/>
      <c r="K22" s="371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6"/>
      <c r="K23" s="371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6"/>
      <c r="K24" s="371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0">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2" t="s">
        <v>2318</v>
      </c>
      <c r="K32" s="3723"/>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24" t="s">
        <v>2328</v>
      </c>
      <c r="K33" s="3725"/>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24" t="s">
        <v>2330</v>
      </c>
      <c r="K34" s="37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6">
        <v>1</v>
      </c>
      <c r="K36" s="371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6"/>
      <c r="K40" s="371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0">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192</v>
      </c>
      <c r="C2" s="1871" t="s">
        <v>1651</v>
      </c>
      <c r="D2" s="1872" t="s">
        <v>1652</v>
      </c>
      <c r="E2" s="2606">
        <f>SUM(E6:E13)</f>
        <v>241</v>
      </c>
      <c r="F2" s="2706"/>
      <c r="G2" s="1488"/>
      <c r="H2" s="1488"/>
      <c r="I2" s="1488"/>
      <c r="J2" s="1488"/>
      <c r="K2" s="1488"/>
      <c r="L2" s="1488"/>
      <c r="M2" s="1488"/>
      <c r="N2" s="1488"/>
      <c r="O2" s="1488"/>
      <c r="P2" s="1488"/>
      <c r="Q2" s="1488"/>
      <c r="R2" s="1488"/>
      <c r="S2" s="1488"/>
    </row>
    <row r="3" spans="1:22" ht="15.75">
      <c r="A3" s="1869" t="s">
        <v>686</v>
      </c>
      <c r="B3" s="2600">
        <f ca="1">ROUND(B2*10000/E2,0)</f>
        <v>7967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192</v>
      </c>
      <c r="C6" s="1871" t="s">
        <v>1651</v>
      </c>
      <c r="D6" s="2708"/>
      <c r="E6" s="2605">
        <f>IF(OR(A6=0,F6="否"),0,'数据-取费表'!K6+'数据-取费表'!S6)</f>
        <v>241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9" t="s">
        <v>1667</v>
      </c>
      <c r="D4" s="3690"/>
      <c r="E4" s="3691" t="s">
        <v>1668</v>
      </c>
      <c r="F4" s="3692"/>
      <c r="G4" s="3689" t="s">
        <v>1669</v>
      </c>
      <c r="H4" s="3690"/>
      <c r="I4" s="3689" t="s">
        <v>1670</v>
      </c>
      <c r="J4" s="3690"/>
      <c r="K4" s="1888" t="s">
        <v>1671</v>
      </c>
      <c r="L4" s="2714"/>
      <c r="M4" s="2715"/>
      <c r="N4" s="2715"/>
      <c r="O4" s="2715"/>
      <c r="P4" s="3693" t="s">
        <v>1672</v>
      </c>
      <c r="Q4" s="3694"/>
      <c r="R4" s="3699" t="s">
        <v>1668</v>
      </c>
      <c r="S4" s="3700"/>
      <c r="T4" s="3699" t="s">
        <v>1669</v>
      </c>
      <c r="U4" s="3700"/>
      <c r="V4" s="3684" t="s">
        <v>1670</v>
      </c>
      <c r="W4" s="3684"/>
      <c r="X4" s="1354"/>
      <c r="Y4" s="3699" t="s">
        <v>1672</v>
      </c>
      <c r="Z4" s="3700"/>
      <c r="AA4" s="3686" t="s">
        <v>1668</v>
      </c>
      <c r="AB4" s="3686" t="s">
        <v>1669</v>
      </c>
      <c r="AC4" s="3686" t="s">
        <v>1670</v>
      </c>
    </row>
    <row r="5" spans="1:29" ht="15">
      <c r="A5" s="358"/>
      <c r="B5" s="359"/>
      <c r="C5" s="3707" t="s">
        <v>1673</v>
      </c>
      <c r="D5" s="3708"/>
      <c r="E5" s="3714" t="s">
        <v>1674</v>
      </c>
      <c r="F5" s="3715"/>
      <c r="G5" s="3707" t="s">
        <v>1675</v>
      </c>
      <c r="H5" s="3708"/>
      <c r="I5" s="3707" t="s">
        <v>1676</v>
      </c>
      <c r="J5" s="3708"/>
      <c r="K5" s="1889"/>
      <c r="L5" s="2714"/>
      <c r="M5" s="2715"/>
      <c r="N5" s="2715"/>
      <c r="O5" s="2715"/>
      <c r="P5" s="3695"/>
      <c r="Q5" s="3696"/>
      <c r="R5" s="3701"/>
      <c r="S5" s="3702"/>
      <c r="T5" s="3701"/>
      <c r="U5" s="3702"/>
      <c r="V5" s="3684"/>
      <c r="W5" s="3684"/>
      <c r="X5" s="1354"/>
      <c r="Y5" s="3701"/>
      <c r="Z5" s="3702"/>
      <c r="AA5" s="3687"/>
      <c r="AB5" s="3687"/>
      <c r="AC5" s="3687"/>
    </row>
    <row r="6" spans="1:29" ht="15.75" thickBot="1">
      <c r="A6" s="360"/>
      <c r="B6" s="361"/>
      <c r="C6" s="3705" t="s">
        <v>1677</v>
      </c>
      <c r="D6" s="3706"/>
      <c r="E6" s="3712" t="s">
        <v>1677</v>
      </c>
      <c r="F6" s="3713"/>
      <c r="G6" s="3705" t="s">
        <v>1677</v>
      </c>
      <c r="H6" s="3706"/>
      <c r="I6" s="3705" t="s">
        <v>1677</v>
      </c>
      <c r="J6" s="3706"/>
      <c r="K6" s="1889" t="s">
        <v>1678</v>
      </c>
      <c r="L6" s="2714"/>
      <c r="M6" s="2715"/>
      <c r="N6" s="2715"/>
      <c r="O6" s="2715"/>
      <c r="P6" s="3697"/>
      <c r="Q6" s="3698"/>
      <c r="R6" s="3701"/>
      <c r="S6" s="3702"/>
      <c r="T6" s="3703"/>
      <c r="U6" s="3704"/>
      <c r="V6" s="3684"/>
      <c r="W6" s="3684"/>
      <c r="X6" s="1354"/>
      <c r="Y6" s="3703"/>
      <c r="Z6" s="3704"/>
      <c r="AA6" s="3688"/>
      <c r="AB6" s="3688"/>
      <c r="AC6" s="3688"/>
    </row>
    <row r="7" spans="1:29" s="108" customFormat="1" ht="15.75" thickBot="1">
      <c r="A7" s="362" t="s">
        <v>1679</v>
      </c>
      <c r="B7" s="363"/>
      <c r="C7" s="364">
        <f>'数据-取费表'!B2</f>
        <v>45432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9" t="s">
        <v>1680</v>
      </c>
      <c r="Q7" s="3711"/>
      <c r="R7" s="700" t="s">
        <v>20</v>
      </c>
      <c r="S7" s="701">
        <f t="shared" ref="S7:S15" si="0">F7</f>
        <v>0</v>
      </c>
      <c r="T7" s="700" t="s">
        <v>20</v>
      </c>
      <c r="U7" s="701">
        <f t="shared" ref="U7:U15" si="1">H7</f>
        <v>0</v>
      </c>
      <c r="V7" s="700" t="s">
        <v>20</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9" t="s">
        <v>1683</v>
      </c>
      <c r="Q8" s="3710"/>
      <c r="R8" s="700" t="s">
        <v>20</v>
      </c>
      <c r="S8" s="701">
        <f t="shared" si="0"/>
        <v>100</v>
      </c>
      <c r="T8" s="700" t="s">
        <v>20</v>
      </c>
      <c r="U8" s="701">
        <f t="shared" si="1"/>
        <v>100</v>
      </c>
      <c r="V8" s="700" t="s">
        <v>20</v>
      </c>
      <c r="W8" s="701">
        <f t="shared" si="2"/>
        <v>100</v>
      </c>
      <c r="X8" s="702"/>
      <c r="Y8" s="3709" t="s">
        <v>1683</v>
      </c>
      <c r="Z8" s="371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0" t="s">
        <v>18</v>
      </c>
      <c r="S11" s="701" t="e">
        <f t="shared" si="0"/>
        <v>#N/A</v>
      </c>
      <c r="T11" s="700" t="s">
        <v>18</v>
      </c>
      <c r="U11" s="701" t="e">
        <f t="shared" si="1"/>
        <v>#N/A</v>
      </c>
      <c r="V11" s="700" t="s">
        <v>18</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0" t="s">
        <v>18</v>
      </c>
      <c r="S12" s="701">
        <f t="shared" si="0"/>
        <v>100</v>
      </c>
      <c r="T12" s="700" t="s">
        <v>18</v>
      </c>
      <c r="U12" s="701">
        <f t="shared" si="1"/>
        <v>100</v>
      </c>
      <c r="V12" s="700" t="s">
        <v>18</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0" t="s">
        <v>18</v>
      </c>
      <c r="S13" s="701">
        <f t="shared" si="0"/>
        <v>100</v>
      </c>
      <c r="T13" s="700" t="s">
        <v>18</v>
      </c>
      <c r="U13" s="701">
        <f t="shared" si="1"/>
        <v>100</v>
      </c>
      <c r="V13" s="700" t="s">
        <v>18</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0" t="s">
        <v>18</v>
      </c>
      <c r="S14" s="701">
        <f t="shared" si="0"/>
        <v>100</v>
      </c>
      <c r="T14" s="700" t="s">
        <v>18</v>
      </c>
      <c r="U14" s="701">
        <f t="shared" si="1"/>
        <v>100</v>
      </c>
      <c r="V14" s="700" t="s">
        <v>18</v>
      </c>
      <c r="W14" s="701">
        <f t="shared" si="2"/>
        <v>100</v>
      </c>
      <c r="X14" s="702"/>
      <c r="Y14" s="356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5" t="s">
        <v>1691</v>
      </c>
      <c r="Q15" s="1351" t="str">
        <f t="shared" si="6"/>
        <v>居住社区成熟度</v>
      </c>
      <c r="R15" s="704" t="s">
        <v>18</v>
      </c>
      <c r="S15" s="705">
        <f t="shared" si="0"/>
        <v>100</v>
      </c>
      <c r="T15" s="704" t="s">
        <v>18</v>
      </c>
      <c r="U15" s="705">
        <f t="shared" si="1"/>
        <v>100</v>
      </c>
      <c r="V15" s="704" t="s">
        <v>18</v>
      </c>
      <c r="W15" s="705">
        <f t="shared" si="2"/>
        <v>100</v>
      </c>
      <c r="X15" s="1354"/>
      <c r="Y15" s="367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6"/>
      <c r="Q16" s="1351"/>
      <c r="R16" s="704"/>
      <c r="S16" s="705"/>
      <c r="T16" s="704"/>
      <c r="U16" s="705"/>
      <c r="V16" s="704"/>
      <c r="W16" s="705"/>
      <c r="X16" s="1354"/>
      <c r="Y16" s="367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6"/>
      <c r="Q17" s="1351" t="str">
        <f>B17</f>
        <v>交通便捷度</v>
      </c>
      <c r="R17" s="704" t="s">
        <v>18</v>
      </c>
      <c r="S17" s="705">
        <f>F17</f>
        <v>100</v>
      </c>
      <c r="T17" s="704" t="s">
        <v>18</v>
      </c>
      <c r="U17" s="705">
        <f>H17</f>
        <v>100</v>
      </c>
      <c r="V17" s="704" t="s">
        <v>18</v>
      </c>
      <c r="W17" s="705">
        <f>J17</f>
        <v>100</v>
      </c>
      <c r="X17" s="1354"/>
      <c r="Y17" s="367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6"/>
      <c r="Q18" s="1351"/>
      <c r="R18" s="704"/>
      <c r="S18" s="705"/>
      <c r="T18" s="704"/>
      <c r="U18" s="705"/>
      <c r="V18" s="704"/>
      <c r="W18" s="705"/>
      <c r="X18" s="1354"/>
      <c r="Y18" s="367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6"/>
      <c r="Q19" s="1351" t="str">
        <f>B19</f>
        <v>公共配套设施</v>
      </c>
      <c r="R19" s="704" t="s">
        <v>18</v>
      </c>
      <c r="S19" s="705">
        <f>F19</f>
        <v>100</v>
      </c>
      <c r="T19" s="704" t="s">
        <v>18</v>
      </c>
      <c r="U19" s="705">
        <f>H19</f>
        <v>100</v>
      </c>
      <c r="V19" s="704" t="s">
        <v>18</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6"/>
      <c r="Q20" s="1351"/>
      <c r="R20" s="704"/>
      <c r="S20" s="705"/>
      <c r="T20" s="704"/>
      <c r="U20" s="705"/>
      <c r="V20" s="704"/>
      <c r="W20" s="705"/>
      <c r="X20" s="1354"/>
      <c r="Y20" s="367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6"/>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6"/>
      <c r="Q22" s="1351"/>
      <c r="R22" s="704"/>
      <c r="S22" s="705"/>
      <c r="T22" s="704"/>
      <c r="U22" s="705"/>
      <c r="V22" s="704"/>
      <c r="W22" s="705"/>
      <c r="X22" s="1354"/>
      <c r="Y22" s="367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6"/>
      <c r="Q23" s="1351" t="str">
        <f>B23</f>
        <v>自然及人文环境</v>
      </c>
      <c r="R23" s="704" t="s">
        <v>18</v>
      </c>
      <c r="S23" s="705">
        <f>F23</f>
        <v>100</v>
      </c>
      <c r="T23" s="704" t="s">
        <v>18</v>
      </c>
      <c r="U23" s="705">
        <f>H23</f>
        <v>100</v>
      </c>
      <c r="V23" s="704" t="s">
        <v>18</v>
      </c>
      <c r="W23" s="705">
        <f>J23</f>
        <v>100</v>
      </c>
      <c r="X23" s="1354"/>
      <c r="Y23" s="367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6"/>
      <c r="Q24" s="1351"/>
      <c r="R24" s="704"/>
      <c r="S24" s="705"/>
      <c r="T24" s="704"/>
      <c r="U24" s="705"/>
      <c r="V24" s="704"/>
      <c r="W24" s="705"/>
      <c r="X24" s="1354"/>
      <c r="Y24" s="367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6"/>
      <c r="Q26" s="1351" t="str">
        <f t="shared" si="11"/>
        <v>朝向</v>
      </c>
      <c r="R26" s="704" t="s">
        <v>18</v>
      </c>
      <c r="S26" s="705">
        <f t="shared" si="12"/>
        <v>100</v>
      </c>
      <c r="T26" s="704" t="s">
        <v>18</v>
      </c>
      <c r="U26" s="705">
        <f t="shared" si="13"/>
        <v>100</v>
      </c>
      <c r="V26" s="704" t="s">
        <v>18</v>
      </c>
      <c r="W26" s="705">
        <f t="shared" si="14"/>
        <v>100</v>
      </c>
      <c r="X26" s="1354"/>
      <c r="Y26" s="367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6"/>
      <c r="Q27" s="1342">
        <f t="shared" si="11"/>
        <v>111</v>
      </c>
      <c r="R27" s="700" t="s">
        <v>18</v>
      </c>
      <c r="S27" s="701">
        <f t="shared" si="12"/>
        <v>100</v>
      </c>
      <c r="T27" s="700" t="s">
        <v>18</v>
      </c>
      <c r="U27" s="701">
        <f t="shared" si="13"/>
        <v>100</v>
      </c>
      <c r="V27" s="700" t="s">
        <v>18</v>
      </c>
      <c r="W27" s="701">
        <f t="shared" si="14"/>
        <v>100</v>
      </c>
      <c r="X27" s="702"/>
      <c r="Y27" s="367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6"/>
      <c r="Q28" s="1351">
        <f t="shared" si="11"/>
        <v>111</v>
      </c>
      <c r="R28" s="704" t="s">
        <v>18</v>
      </c>
      <c r="S28" s="705">
        <f t="shared" si="12"/>
        <v>100</v>
      </c>
      <c r="T28" s="704" t="s">
        <v>18</v>
      </c>
      <c r="U28" s="705">
        <f t="shared" si="13"/>
        <v>100</v>
      </c>
      <c r="V28" s="704" t="s">
        <v>18</v>
      </c>
      <c r="W28" s="705">
        <f t="shared" si="14"/>
        <v>100</v>
      </c>
      <c r="X28" s="1354"/>
      <c r="Y28" s="367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6"/>
      <c r="Q29" s="1351">
        <f t="shared" si="11"/>
        <v>111</v>
      </c>
      <c r="R29" s="704" t="s">
        <v>18</v>
      </c>
      <c r="S29" s="705">
        <f t="shared" si="12"/>
        <v>100</v>
      </c>
      <c r="T29" s="704" t="s">
        <v>18</v>
      </c>
      <c r="U29" s="705">
        <f t="shared" si="13"/>
        <v>100</v>
      </c>
      <c r="V29" s="704" t="s">
        <v>18</v>
      </c>
      <c r="W29" s="705">
        <f t="shared" si="14"/>
        <v>100</v>
      </c>
      <c r="X29" s="1354"/>
      <c r="Y29" s="367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6"/>
      <c r="Q30" s="1351">
        <f t="shared" si="11"/>
        <v>111</v>
      </c>
      <c r="R30" s="704" t="s">
        <v>18</v>
      </c>
      <c r="S30" s="705">
        <f t="shared" si="12"/>
        <v>100</v>
      </c>
      <c r="T30" s="704" t="s">
        <v>18</v>
      </c>
      <c r="U30" s="705">
        <f t="shared" si="13"/>
        <v>100</v>
      </c>
      <c r="V30" s="704" t="s">
        <v>18</v>
      </c>
      <c r="W30" s="705">
        <f t="shared" si="14"/>
        <v>100</v>
      </c>
      <c r="X30" s="1354"/>
      <c r="Y30" s="367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6"/>
      <c r="Q31" s="1351">
        <f t="shared" si="11"/>
        <v>111</v>
      </c>
      <c r="R31" s="704" t="s">
        <v>18</v>
      </c>
      <c r="S31" s="705">
        <f t="shared" si="12"/>
        <v>100</v>
      </c>
      <c r="T31" s="704" t="s">
        <v>18</v>
      </c>
      <c r="U31" s="705">
        <f t="shared" si="13"/>
        <v>100</v>
      </c>
      <c r="V31" s="704" t="s">
        <v>18</v>
      </c>
      <c r="W31" s="705">
        <f t="shared" si="14"/>
        <v>100</v>
      </c>
      <c r="X31" s="1354"/>
      <c r="Y31" s="367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9" t="s">
        <v>1696</v>
      </c>
      <c r="Q32" s="1351" t="str">
        <f t="shared" si="11"/>
        <v>建筑类型</v>
      </c>
      <c r="R32" s="704" t="s">
        <v>18</v>
      </c>
      <c r="S32" s="705">
        <f t="shared" si="12"/>
        <v>100</v>
      </c>
      <c r="T32" s="704" t="s">
        <v>18</v>
      </c>
      <c r="U32" s="705">
        <f t="shared" si="13"/>
        <v>100</v>
      </c>
      <c r="V32" s="704" t="s">
        <v>18</v>
      </c>
      <c r="W32" s="705">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0"/>
      <c r="Q33" s="706" t="str">
        <f t="shared" si="11"/>
        <v>项目建筑规模</v>
      </c>
      <c r="R33" s="707" t="s">
        <v>18</v>
      </c>
      <c r="S33" s="708" t="e">
        <f t="shared" si="12"/>
        <v>#N/A</v>
      </c>
      <c r="T33" s="707" t="s">
        <v>18</v>
      </c>
      <c r="U33" s="708" t="e">
        <f t="shared" si="13"/>
        <v>#N/A</v>
      </c>
      <c r="V33" s="707" t="s">
        <v>18</v>
      </c>
      <c r="W33" s="708" t="e">
        <f t="shared" si="14"/>
        <v>#N/A</v>
      </c>
      <c r="X33" s="709"/>
      <c r="Y33" s="368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0"/>
      <c r="Q34" s="1351" t="str">
        <f t="shared" si="11"/>
        <v>建筑结构</v>
      </c>
      <c r="R34" s="704" t="s">
        <v>18</v>
      </c>
      <c r="S34" s="705">
        <f t="shared" si="12"/>
        <v>100</v>
      </c>
      <c r="T34" s="704" t="s">
        <v>18</v>
      </c>
      <c r="U34" s="705">
        <f t="shared" si="13"/>
        <v>100</v>
      </c>
      <c r="V34" s="704" t="s">
        <v>18</v>
      </c>
      <c r="W34" s="705">
        <f t="shared" si="14"/>
        <v>100</v>
      </c>
      <c r="X34" s="1354"/>
      <c r="Y34" s="368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0"/>
      <c r="Q35" s="1351" t="str">
        <f t="shared" si="11"/>
        <v>建筑品质</v>
      </c>
      <c r="R35" s="704" t="s">
        <v>18</v>
      </c>
      <c r="S35" s="705">
        <f t="shared" si="12"/>
        <v>100</v>
      </c>
      <c r="T35" s="704" t="s">
        <v>18</v>
      </c>
      <c r="U35" s="705">
        <f t="shared" si="13"/>
        <v>100</v>
      </c>
      <c r="V35" s="704" t="s">
        <v>18</v>
      </c>
      <c r="W35" s="705">
        <f t="shared" si="14"/>
        <v>100</v>
      </c>
      <c r="X35" s="1354"/>
      <c r="Y35" s="368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0"/>
      <c r="Q36" s="1351" t="str">
        <f t="shared" si="11"/>
        <v>公共部分装修</v>
      </c>
      <c r="R36" s="704" t="s">
        <v>18</v>
      </c>
      <c r="S36" s="705">
        <f t="shared" si="12"/>
        <v>100</v>
      </c>
      <c r="T36" s="704" t="s">
        <v>18</v>
      </c>
      <c r="U36" s="705">
        <f t="shared" si="13"/>
        <v>100</v>
      </c>
      <c r="V36" s="704" t="s">
        <v>18</v>
      </c>
      <c r="W36" s="705">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0"/>
      <c r="Q37" s="1342" t="str">
        <f t="shared" si="11"/>
        <v>成新度</v>
      </c>
      <c r="R37" s="700" t="s">
        <v>18</v>
      </c>
      <c r="S37" s="701" t="e">
        <f t="shared" si="12"/>
        <v>#N/A</v>
      </c>
      <c r="T37" s="700" t="s">
        <v>18</v>
      </c>
      <c r="U37" s="701" t="e">
        <f t="shared" si="13"/>
        <v>#N/A</v>
      </c>
      <c r="V37" s="700" t="s">
        <v>18</v>
      </c>
      <c r="W37" s="701" t="e">
        <f t="shared" si="14"/>
        <v>#N/A</v>
      </c>
      <c r="X37" s="702"/>
      <c r="Y37" s="368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0" t="s">
        <v>1696</v>
      </c>
      <c r="Q38" s="1351" t="str">
        <f t="shared" si="11"/>
        <v>物业管理</v>
      </c>
      <c r="R38" s="704" t="s">
        <v>18</v>
      </c>
      <c r="S38" s="705">
        <f t="shared" si="12"/>
        <v>100</v>
      </c>
      <c r="T38" s="704" t="s">
        <v>18</v>
      </c>
      <c r="U38" s="705">
        <f t="shared" si="13"/>
        <v>100</v>
      </c>
      <c r="V38" s="704" t="s">
        <v>18</v>
      </c>
      <c r="W38" s="705">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0"/>
      <c r="Q39" s="1351" t="str">
        <f t="shared" si="11"/>
        <v>市政基础设施</v>
      </c>
      <c r="R39" s="704" t="s">
        <v>18</v>
      </c>
      <c r="S39" s="705">
        <f t="shared" si="12"/>
        <v>100</v>
      </c>
      <c r="T39" s="704" t="s">
        <v>18</v>
      </c>
      <c r="U39" s="705">
        <f t="shared" si="13"/>
        <v>100</v>
      </c>
      <c r="V39" s="704" t="s">
        <v>18</v>
      </c>
      <c r="W39" s="705">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0"/>
      <c r="Q40" s="1351" t="str">
        <f t="shared" si="11"/>
        <v>房型</v>
      </c>
      <c r="R40" s="704" t="s">
        <v>18</v>
      </c>
      <c r="S40" s="705">
        <f t="shared" si="12"/>
        <v>100</v>
      </c>
      <c r="T40" s="704" t="s">
        <v>18</v>
      </c>
      <c r="U40" s="705">
        <f t="shared" si="13"/>
        <v>100</v>
      </c>
      <c r="V40" s="704" t="s">
        <v>18</v>
      </c>
      <c r="W40" s="705">
        <f t="shared" si="14"/>
        <v>100</v>
      </c>
      <c r="X40" s="1354"/>
      <c r="Y40" s="368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0"/>
      <c r="Q41" s="706" t="str">
        <f t="shared" si="11"/>
        <v>单套/主力户型建筑面积</v>
      </c>
      <c r="R41" s="707" t="s">
        <v>18</v>
      </c>
      <c r="S41" s="708">
        <f t="shared" si="12"/>
        <v>100</v>
      </c>
      <c r="T41" s="707" t="s">
        <v>18</v>
      </c>
      <c r="U41" s="708">
        <f t="shared" si="13"/>
        <v>100</v>
      </c>
      <c r="V41" s="707" t="s">
        <v>18</v>
      </c>
      <c r="W41" s="708">
        <f t="shared" si="14"/>
        <v>100</v>
      </c>
      <c r="X41" s="709"/>
      <c r="Y41" s="368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0"/>
      <c r="Q42" s="1351" t="str">
        <f t="shared" si="11"/>
        <v>内部装修</v>
      </c>
      <c r="R42" s="704" t="s">
        <v>18</v>
      </c>
      <c r="S42" s="705">
        <f t="shared" si="12"/>
        <v>100</v>
      </c>
      <c r="T42" s="704" t="s">
        <v>18</v>
      </c>
      <c r="U42" s="705">
        <f t="shared" si="13"/>
        <v>100</v>
      </c>
      <c r="V42" s="704" t="s">
        <v>18</v>
      </c>
      <c r="W42" s="705">
        <f t="shared" si="14"/>
        <v>100</v>
      </c>
      <c r="X42" s="1354"/>
      <c r="Y42" s="368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0"/>
      <c r="Q43" s="1351" t="str">
        <f t="shared" si="11"/>
        <v>内部装修维护情况</v>
      </c>
      <c r="R43" s="704" t="s">
        <v>18</v>
      </c>
      <c r="S43" s="705">
        <f t="shared" si="12"/>
        <v>100</v>
      </c>
      <c r="T43" s="704" t="s">
        <v>18</v>
      </c>
      <c r="U43" s="705">
        <f t="shared" si="13"/>
        <v>100</v>
      </c>
      <c r="V43" s="704" t="s">
        <v>18</v>
      </c>
      <c r="W43" s="705">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0"/>
      <c r="Q44" s="1342">
        <f t="shared" si="11"/>
        <v>111</v>
      </c>
      <c r="R44" s="700" t="s">
        <v>18</v>
      </c>
      <c r="S44" s="701">
        <f t="shared" si="12"/>
        <v>100</v>
      </c>
      <c r="T44" s="700" t="s">
        <v>18</v>
      </c>
      <c r="U44" s="701">
        <f t="shared" si="13"/>
        <v>100</v>
      </c>
      <c r="V44" s="700" t="s">
        <v>18</v>
      </c>
      <c r="W44" s="701">
        <f t="shared" si="14"/>
        <v>100</v>
      </c>
      <c r="X44" s="702"/>
      <c r="Y44" s="368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0"/>
      <c r="Q45" s="1351">
        <f t="shared" si="11"/>
        <v>111</v>
      </c>
      <c r="R45" s="704" t="s">
        <v>18</v>
      </c>
      <c r="S45" s="705">
        <f t="shared" si="12"/>
        <v>100</v>
      </c>
      <c r="T45" s="704" t="s">
        <v>18</v>
      </c>
      <c r="U45" s="705">
        <f t="shared" si="13"/>
        <v>100</v>
      </c>
      <c r="V45" s="704" t="s">
        <v>18</v>
      </c>
      <c r="W45" s="705">
        <f t="shared" si="14"/>
        <v>100</v>
      </c>
      <c r="X45" s="1354"/>
      <c r="Y45" s="368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1"/>
      <c r="Q46" s="1351">
        <f t="shared" si="11"/>
        <v>111</v>
      </c>
      <c r="R46" s="704" t="s">
        <v>17</v>
      </c>
      <c r="S46" s="705">
        <f t="shared" si="12"/>
        <v>100</v>
      </c>
      <c r="T46" s="704" t="s">
        <v>17</v>
      </c>
      <c r="U46" s="705">
        <f t="shared" si="13"/>
        <v>100</v>
      </c>
      <c r="V46" s="704" t="s">
        <v>17</v>
      </c>
      <c r="W46" s="705">
        <f t="shared" si="14"/>
        <v>100</v>
      </c>
      <c r="X46" s="1354"/>
      <c r="Y46" s="368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0" t="str">
        <f>A47</f>
        <v>成交单价（元/平方米）</v>
      </c>
      <c r="Q47" s="3670"/>
      <c r="R47" s="3671">
        <f>E47</f>
        <v>0</v>
      </c>
      <c r="S47" s="3671"/>
      <c r="T47" s="3671">
        <f>G47</f>
        <v>0</v>
      </c>
      <c r="U47" s="3671"/>
      <c r="V47" s="3671">
        <f>I47</f>
        <v>0</v>
      </c>
      <c r="W47" s="3671"/>
      <c r="X47" s="689"/>
      <c r="Y47" s="711"/>
      <c r="Z47" s="689"/>
      <c r="AA47" s="689"/>
      <c r="AB47" s="689"/>
      <c r="AC47" s="689"/>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估价对象为北京市房地产，为所有。根据《国有土地使用证》[]，估价对象（分摊）出让国有建设用地使用权面积为1429.33平方米，建筑面积为241平方米。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估价对象为北京市房地产,属开发建设的商业项目，该项目尚在开发建设中。根据《国有土地使用证》[]，估价对象（分摊）出让国有建设用地使用权面积为1429.33平方米，规划建筑面积为241平方米。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241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43" t="s">
        <v>1775</v>
      </c>
      <c r="Q4" s="3744"/>
      <c r="R4" s="3747" t="s">
        <v>1771</v>
      </c>
      <c r="S4" s="3748"/>
      <c r="T4" s="3747" t="s">
        <v>1772</v>
      </c>
      <c r="U4" s="3748"/>
      <c r="V4" s="3749" t="s">
        <v>1773</v>
      </c>
      <c r="W4" s="3749"/>
      <c r="X4" s="1957"/>
      <c r="Y4" s="3747" t="s">
        <v>1775</v>
      </c>
      <c r="Z4" s="3748"/>
      <c r="AA4" s="3751" t="s">
        <v>1771</v>
      </c>
      <c r="AB4" s="3751" t="s">
        <v>1772</v>
      </c>
      <c r="AC4" s="3740" t="s">
        <v>1773</v>
      </c>
    </row>
    <row r="5" spans="1:29" ht="15">
      <c r="A5" s="358"/>
      <c r="B5" s="359"/>
      <c r="C5" s="3707" t="s">
        <v>1673</v>
      </c>
      <c r="D5" s="3708"/>
      <c r="E5" s="3714" t="s">
        <v>1674</v>
      </c>
      <c r="F5" s="3715"/>
      <c r="G5" s="3707" t="s">
        <v>1675</v>
      </c>
      <c r="H5" s="3708"/>
      <c r="I5" s="3707" t="s">
        <v>1676</v>
      </c>
      <c r="J5" s="3708"/>
      <c r="K5" s="559"/>
      <c r="L5" s="2714"/>
      <c r="M5" s="2715"/>
      <c r="N5" s="2715"/>
      <c r="O5" s="2715"/>
      <c r="P5" s="3745"/>
      <c r="Q5" s="3696"/>
      <c r="R5" s="3701"/>
      <c r="S5" s="3702"/>
      <c r="T5" s="3701"/>
      <c r="U5" s="3702"/>
      <c r="V5" s="3684"/>
      <c r="W5" s="3684"/>
      <c r="X5" s="1354"/>
      <c r="Y5" s="3701"/>
      <c r="Z5" s="3702"/>
      <c r="AA5" s="3687"/>
      <c r="AB5" s="3687"/>
      <c r="AC5" s="3741"/>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746"/>
      <c r="Q6" s="3698"/>
      <c r="R6" s="3701"/>
      <c r="S6" s="3702"/>
      <c r="T6" s="3703"/>
      <c r="U6" s="3704"/>
      <c r="V6" s="3684"/>
      <c r="W6" s="3684"/>
      <c r="X6" s="1354"/>
      <c r="Y6" s="3703"/>
      <c r="Z6" s="3704"/>
      <c r="AA6" s="3688"/>
      <c r="AB6" s="3688"/>
      <c r="AC6" s="3742"/>
    </row>
    <row r="7" spans="1:29" s="108" customFormat="1" ht="15.75" thickBot="1">
      <c r="A7" s="362" t="s">
        <v>1679</v>
      </c>
      <c r="B7" s="363"/>
      <c r="C7" s="364">
        <f>'数据-取费表'!B2</f>
        <v>45432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0"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0" t="s">
        <v>1683</v>
      </c>
      <c r="Q8" s="3710"/>
      <c r="R8" s="700" t="s">
        <v>14</v>
      </c>
      <c r="S8" s="701">
        <f t="shared" si="0"/>
        <v>100</v>
      </c>
      <c r="T8" s="700" t="s">
        <v>14</v>
      </c>
      <c r="U8" s="701">
        <f t="shared" si="1"/>
        <v>100</v>
      </c>
      <c r="V8" s="700" t="s">
        <v>14</v>
      </c>
      <c r="W8" s="701">
        <f t="shared" si="2"/>
        <v>100</v>
      </c>
      <c r="X8" s="702"/>
      <c r="Y8" s="3709" t="s">
        <v>1683</v>
      </c>
      <c r="Z8" s="371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5" t="s">
        <v>1691</v>
      </c>
      <c r="Q15" s="1351" t="str">
        <f t="shared" si="6"/>
        <v>办公集聚程度</v>
      </c>
      <c r="R15" s="704" t="s">
        <v>14</v>
      </c>
      <c r="S15" s="705">
        <f t="shared" si="0"/>
        <v>100</v>
      </c>
      <c r="T15" s="704" t="s">
        <v>14</v>
      </c>
      <c r="U15" s="705">
        <f t="shared" si="1"/>
        <v>100</v>
      </c>
      <c r="V15" s="704" t="s">
        <v>14</v>
      </c>
      <c r="W15" s="705">
        <f t="shared" si="2"/>
        <v>100</v>
      </c>
      <c r="X15" s="1354"/>
      <c r="Y15" s="367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6"/>
      <c r="Q16" s="1351"/>
      <c r="R16" s="704"/>
      <c r="S16" s="705"/>
      <c r="T16" s="704"/>
      <c r="U16" s="705"/>
      <c r="V16" s="704"/>
      <c r="W16" s="705"/>
      <c r="X16" s="1354"/>
      <c r="Y16" s="3678"/>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6"/>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6"/>
      <c r="Q18" s="1351"/>
      <c r="R18" s="704"/>
      <c r="S18" s="705"/>
      <c r="T18" s="704"/>
      <c r="U18" s="705"/>
      <c r="V18" s="704"/>
      <c r="W18" s="705"/>
      <c r="X18" s="1354"/>
      <c r="Y18" s="3678"/>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6"/>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6"/>
      <c r="Q20" s="1351"/>
      <c r="R20" s="704"/>
      <c r="S20" s="705"/>
      <c r="T20" s="704"/>
      <c r="U20" s="705"/>
      <c r="V20" s="704"/>
      <c r="W20" s="705"/>
      <c r="X20" s="1354"/>
      <c r="Y20" s="3678"/>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6"/>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6"/>
      <c r="Q22" s="1351"/>
      <c r="R22" s="704"/>
      <c r="S22" s="705"/>
      <c r="T22" s="704"/>
      <c r="U22" s="705"/>
      <c r="V22" s="704"/>
      <c r="W22" s="705"/>
      <c r="X22" s="1354"/>
      <c r="Y22" s="3678"/>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6"/>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6"/>
      <c r="Q24" s="1351"/>
      <c r="R24" s="704"/>
      <c r="S24" s="705"/>
      <c r="T24" s="704"/>
      <c r="U24" s="705"/>
      <c r="V24" s="704"/>
      <c r="W24" s="705"/>
      <c r="X24" s="1354"/>
      <c r="Y24" s="367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6"/>
      <c r="Q25" s="1351" t="str">
        <f>B25</f>
        <v>毗邻道路的类型与等级</v>
      </c>
      <c r="R25" s="704" t="s">
        <v>14</v>
      </c>
      <c r="S25" s="705">
        <f>F25</f>
        <v>100</v>
      </c>
      <c r="T25" s="704" t="s">
        <v>14</v>
      </c>
      <c r="U25" s="705">
        <f>H25</f>
        <v>100</v>
      </c>
      <c r="V25" s="704" t="s">
        <v>14</v>
      </c>
      <c r="W25" s="705">
        <f>J25</f>
        <v>100</v>
      </c>
      <c r="X25" s="1354"/>
      <c r="Y25" s="367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6"/>
      <c r="Q26" s="1351"/>
      <c r="R26" s="704"/>
      <c r="S26" s="705"/>
      <c r="T26" s="704"/>
      <c r="U26" s="705"/>
      <c r="V26" s="704"/>
      <c r="W26" s="705"/>
      <c r="X26" s="1354"/>
      <c r="Y26" s="367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6"/>
      <c r="Q27" s="1351" t="str">
        <f t="shared" ref="Q27:Q47" si="11">B27</f>
        <v>楼层</v>
      </c>
      <c r="R27" s="704" t="s">
        <v>14</v>
      </c>
      <c r="S27" s="705">
        <f>F27</f>
        <v>100</v>
      </c>
      <c r="T27" s="704" t="s">
        <v>14</v>
      </c>
      <c r="U27" s="705">
        <f>H27</f>
        <v>100</v>
      </c>
      <c r="V27" s="704" t="s">
        <v>14</v>
      </c>
      <c r="W27" s="705">
        <f>J27</f>
        <v>100</v>
      </c>
      <c r="X27" s="1354"/>
      <c r="Y27" s="367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6"/>
      <c r="Q28" s="1342" t="str">
        <f t="shared" si="11"/>
        <v>朝向</v>
      </c>
      <c r="R28" s="700" t="s">
        <v>14</v>
      </c>
      <c r="S28" s="701">
        <f>F28</f>
        <v>100</v>
      </c>
      <c r="T28" s="700" t="s">
        <v>14</v>
      </c>
      <c r="U28" s="701">
        <f>H28</f>
        <v>100</v>
      </c>
      <c r="V28" s="700" t="s">
        <v>14</v>
      </c>
      <c r="W28" s="701">
        <f>J28</f>
        <v>100</v>
      </c>
      <c r="X28" s="702"/>
      <c r="Y28" s="367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6"/>
      <c r="Q29" s="1351">
        <f t="shared" si="11"/>
        <v>111</v>
      </c>
      <c r="R29" s="704" t="s">
        <v>14</v>
      </c>
      <c r="S29" s="705">
        <f t="shared" ref="S29:S47" si="12">F29</f>
        <v>100</v>
      </c>
      <c r="T29" s="704" t="s">
        <v>14</v>
      </c>
      <c r="U29" s="705">
        <f t="shared" ref="U29:U47" si="13">H29</f>
        <v>100</v>
      </c>
      <c r="V29" s="704" t="s">
        <v>14</v>
      </c>
      <c r="W29" s="705">
        <f t="shared" ref="W29:W47" si="14">J29</f>
        <v>100</v>
      </c>
      <c r="X29" s="1354"/>
      <c r="Y29" s="367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6"/>
      <c r="Q30" s="1351">
        <f t="shared" si="11"/>
        <v>111</v>
      </c>
      <c r="R30" s="704" t="s">
        <v>14</v>
      </c>
      <c r="S30" s="705">
        <f t="shared" si="12"/>
        <v>100</v>
      </c>
      <c r="T30" s="704" t="s">
        <v>14</v>
      </c>
      <c r="U30" s="705">
        <f t="shared" si="13"/>
        <v>100</v>
      </c>
      <c r="V30" s="704" t="s">
        <v>14</v>
      </c>
      <c r="W30" s="705">
        <f t="shared" si="14"/>
        <v>100</v>
      </c>
      <c r="X30" s="1354"/>
      <c r="Y30" s="367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6"/>
      <c r="Q31" s="1351">
        <f t="shared" si="11"/>
        <v>111</v>
      </c>
      <c r="R31" s="704" t="s">
        <v>14</v>
      </c>
      <c r="S31" s="705">
        <f t="shared" si="12"/>
        <v>100</v>
      </c>
      <c r="T31" s="704" t="s">
        <v>14</v>
      </c>
      <c r="U31" s="705">
        <f t="shared" si="13"/>
        <v>100</v>
      </c>
      <c r="V31" s="704" t="s">
        <v>14</v>
      </c>
      <c r="W31" s="705">
        <f t="shared" si="14"/>
        <v>100</v>
      </c>
      <c r="X31" s="1354"/>
      <c r="Y31" s="367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6"/>
      <c r="Q32" s="1351">
        <f t="shared" si="11"/>
        <v>111</v>
      </c>
      <c r="R32" s="704" t="s">
        <v>14</v>
      </c>
      <c r="S32" s="705">
        <f t="shared" si="12"/>
        <v>100</v>
      </c>
      <c r="T32" s="704" t="s">
        <v>14</v>
      </c>
      <c r="U32" s="705">
        <f t="shared" si="13"/>
        <v>100</v>
      </c>
      <c r="V32" s="704" t="s">
        <v>14</v>
      </c>
      <c r="W32" s="705">
        <f t="shared" si="14"/>
        <v>100</v>
      </c>
      <c r="X32" s="1354"/>
      <c r="Y32" s="367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9" t="s">
        <v>1696</v>
      </c>
      <c r="Q33" s="1351" t="str">
        <f t="shared" si="11"/>
        <v>建筑类型</v>
      </c>
      <c r="R33" s="704" t="s">
        <v>14</v>
      </c>
      <c r="S33" s="705">
        <f t="shared" si="12"/>
        <v>100</v>
      </c>
      <c r="T33" s="704" t="s">
        <v>14</v>
      </c>
      <c r="U33" s="705">
        <f t="shared" si="13"/>
        <v>100</v>
      </c>
      <c r="V33" s="704" t="s">
        <v>14</v>
      </c>
      <c r="W33" s="705">
        <f t="shared" si="14"/>
        <v>100</v>
      </c>
      <c r="X33" s="1354"/>
      <c r="Y33" s="368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0"/>
      <c r="Q34" s="706" t="str">
        <f t="shared" si="11"/>
        <v>项目建筑规模</v>
      </c>
      <c r="R34" s="707" t="s">
        <v>14</v>
      </c>
      <c r="S34" s="708" t="e">
        <f t="shared" si="12"/>
        <v>#N/A</v>
      </c>
      <c r="T34" s="707" t="s">
        <v>14</v>
      </c>
      <c r="U34" s="708" t="e">
        <f t="shared" si="13"/>
        <v>#N/A</v>
      </c>
      <c r="V34" s="707" t="s">
        <v>14</v>
      </c>
      <c r="W34" s="708" t="e">
        <f t="shared" si="14"/>
        <v>#N/A</v>
      </c>
      <c r="X34" s="709"/>
      <c r="Y34" s="368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0"/>
      <c r="Q35" s="1351" t="str">
        <f t="shared" si="11"/>
        <v>建筑结构</v>
      </c>
      <c r="R35" s="704" t="s">
        <v>14</v>
      </c>
      <c r="S35" s="705">
        <f t="shared" si="12"/>
        <v>100</v>
      </c>
      <c r="T35" s="704" t="s">
        <v>14</v>
      </c>
      <c r="U35" s="705">
        <f t="shared" si="13"/>
        <v>100</v>
      </c>
      <c r="V35" s="704" t="s">
        <v>14</v>
      </c>
      <c r="W35" s="705">
        <f t="shared" si="14"/>
        <v>100</v>
      </c>
      <c r="X35" s="1354"/>
      <c r="Y35" s="368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0"/>
      <c r="Q36" s="1351" t="str">
        <f t="shared" si="11"/>
        <v>公共部分装修</v>
      </c>
      <c r="R36" s="704" t="s">
        <v>14</v>
      </c>
      <c r="S36" s="705">
        <f t="shared" si="12"/>
        <v>100</v>
      </c>
      <c r="T36" s="704" t="s">
        <v>14</v>
      </c>
      <c r="U36" s="705">
        <f t="shared" si="13"/>
        <v>100</v>
      </c>
      <c r="V36" s="704" t="s">
        <v>14</v>
      </c>
      <c r="W36" s="705">
        <f t="shared" si="14"/>
        <v>100</v>
      </c>
      <c r="X36" s="1354"/>
      <c r="Y36" s="368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0"/>
      <c r="Q37" s="1351" t="str">
        <f t="shared" si="11"/>
        <v>成新度</v>
      </c>
      <c r="R37" s="704" t="s">
        <v>14</v>
      </c>
      <c r="S37" s="705" t="e">
        <f t="shared" si="12"/>
        <v>#N/A</v>
      </c>
      <c r="T37" s="704" t="s">
        <v>14</v>
      </c>
      <c r="U37" s="705" t="e">
        <f t="shared" si="13"/>
        <v>#N/A</v>
      </c>
      <c r="V37" s="704" t="s">
        <v>14</v>
      </c>
      <c r="W37" s="705" t="e">
        <f t="shared" si="14"/>
        <v>#N/A</v>
      </c>
      <c r="X37" s="1354"/>
      <c r="Y37" s="368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0"/>
      <c r="Q38" s="1342" t="str">
        <f t="shared" si="11"/>
        <v>写字楼等级</v>
      </c>
      <c r="R38" s="700" t="s">
        <v>14</v>
      </c>
      <c r="S38" s="701">
        <f t="shared" si="12"/>
        <v>100</v>
      </c>
      <c r="T38" s="700" t="s">
        <v>14</v>
      </c>
      <c r="U38" s="701">
        <f t="shared" si="13"/>
        <v>100</v>
      </c>
      <c r="V38" s="700" t="s">
        <v>14</v>
      </c>
      <c r="W38" s="701">
        <f t="shared" si="14"/>
        <v>100</v>
      </c>
      <c r="X38" s="702"/>
      <c r="Y38" s="368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0" t="s">
        <v>1696</v>
      </c>
      <c r="Q39" s="1351" t="str">
        <f t="shared" si="11"/>
        <v>物业管理</v>
      </c>
      <c r="R39" s="704" t="s">
        <v>14</v>
      </c>
      <c r="S39" s="705">
        <f t="shared" si="12"/>
        <v>100</v>
      </c>
      <c r="T39" s="704" t="s">
        <v>14</v>
      </c>
      <c r="U39" s="705">
        <f t="shared" si="13"/>
        <v>100</v>
      </c>
      <c r="V39" s="704" t="s">
        <v>14</v>
      </c>
      <c r="W39" s="705">
        <f t="shared" si="14"/>
        <v>100</v>
      </c>
      <c r="X39" s="1354"/>
      <c r="Y39" s="368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0"/>
      <c r="Q40" s="1351" t="str">
        <f t="shared" si="11"/>
        <v>市政基础设施</v>
      </c>
      <c r="R40" s="704" t="s">
        <v>14</v>
      </c>
      <c r="S40" s="705">
        <f t="shared" si="12"/>
        <v>100</v>
      </c>
      <c r="T40" s="704" t="s">
        <v>14</v>
      </c>
      <c r="U40" s="705">
        <f t="shared" si="13"/>
        <v>100</v>
      </c>
      <c r="V40" s="704" t="s">
        <v>14</v>
      </c>
      <c r="W40" s="705">
        <f t="shared" si="14"/>
        <v>100</v>
      </c>
      <c r="X40" s="1354"/>
      <c r="Y40" s="368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0"/>
      <c r="Q41" s="1351" t="str">
        <f t="shared" si="11"/>
        <v>层高</v>
      </c>
      <c r="R41" s="704" t="s">
        <v>14</v>
      </c>
      <c r="S41" s="705">
        <f t="shared" si="12"/>
        <v>100</v>
      </c>
      <c r="T41" s="704" t="s">
        <v>14</v>
      </c>
      <c r="U41" s="705">
        <f t="shared" si="13"/>
        <v>100</v>
      </c>
      <c r="V41" s="704" t="s">
        <v>14</v>
      </c>
      <c r="W41" s="705">
        <f t="shared" si="14"/>
        <v>100</v>
      </c>
      <c r="X41" s="1354"/>
      <c r="Y41" s="368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0"/>
      <c r="Q42" s="706" t="str">
        <f t="shared" si="11"/>
        <v>单套建筑面积</v>
      </c>
      <c r="R42" s="707" t="s">
        <v>14</v>
      </c>
      <c r="S42" s="708">
        <f t="shared" si="12"/>
        <v>100</v>
      </c>
      <c r="T42" s="707" t="s">
        <v>14</v>
      </c>
      <c r="U42" s="708">
        <f t="shared" si="13"/>
        <v>100</v>
      </c>
      <c r="V42" s="707" t="s">
        <v>14</v>
      </c>
      <c r="W42" s="708">
        <f t="shared" si="14"/>
        <v>100</v>
      </c>
      <c r="X42" s="709"/>
      <c r="Y42" s="368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0"/>
      <c r="Q43" s="1351" t="str">
        <f t="shared" si="11"/>
        <v>内部装修</v>
      </c>
      <c r="R43" s="704" t="s">
        <v>14</v>
      </c>
      <c r="S43" s="705">
        <f t="shared" si="12"/>
        <v>100</v>
      </c>
      <c r="T43" s="704" t="s">
        <v>14</v>
      </c>
      <c r="U43" s="705">
        <f t="shared" si="13"/>
        <v>100</v>
      </c>
      <c r="V43" s="704" t="s">
        <v>14</v>
      </c>
      <c r="W43" s="705">
        <f t="shared" si="14"/>
        <v>100</v>
      </c>
      <c r="X43" s="1354"/>
      <c r="Y43" s="368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0"/>
      <c r="Q44" s="1351" t="str">
        <f t="shared" si="11"/>
        <v>内部装修维护情况</v>
      </c>
      <c r="R44" s="704" t="s">
        <v>14</v>
      </c>
      <c r="S44" s="705">
        <f t="shared" si="12"/>
        <v>100</v>
      </c>
      <c r="T44" s="704" t="s">
        <v>14</v>
      </c>
      <c r="U44" s="705">
        <f t="shared" si="13"/>
        <v>100</v>
      </c>
      <c r="V44" s="704" t="s">
        <v>14</v>
      </c>
      <c r="W44" s="705">
        <f t="shared" si="14"/>
        <v>100</v>
      </c>
      <c r="X44" s="1354"/>
      <c r="Y44" s="368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0"/>
      <c r="Q45" s="1342">
        <f t="shared" si="11"/>
        <v>111</v>
      </c>
      <c r="R45" s="700" t="s">
        <v>14</v>
      </c>
      <c r="S45" s="701">
        <f t="shared" si="12"/>
        <v>100</v>
      </c>
      <c r="T45" s="700" t="s">
        <v>14</v>
      </c>
      <c r="U45" s="701">
        <f t="shared" si="13"/>
        <v>100</v>
      </c>
      <c r="V45" s="700" t="s">
        <v>14</v>
      </c>
      <c r="W45" s="701">
        <f t="shared" si="14"/>
        <v>100</v>
      </c>
      <c r="X45" s="702"/>
      <c r="Y45" s="368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0"/>
      <c r="Q46" s="1351">
        <f t="shared" si="11"/>
        <v>111</v>
      </c>
      <c r="R46" s="704" t="s">
        <v>14</v>
      </c>
      <c r="S46" s="705">
        <f t="shared" si="12"/>
        <v>100</v>
      </c>
      <c r="T46" s="704" t="s">
        <v>14</v>
      </c>
      <c r="U46" s="705">
        <f t="shared" si="13"/>
        <v>100</v>
      </c>
      <c r="V46" s="704" t="s">
        <v>14</v>
      </c>
      <c r="W46" s="705">
        <f t="shared" si="14"/>
        <v>100</v>
      </c>
      <c r="X46" s="1354"/>
      <c r="Y46" s="368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1"/>
      <c r="Q47" s="1351">
        <f t="shared" si="11"/>
        <v>111</v>
      </c>
      <c r="R47" s="704" t="s">
        <v>14</v>
      </c>
      <c r="S47" s="705">
        <f t="shared" si="12"/>
        <v>100</v>
      </c>
      <c r="T47" s="704" t="s">
        <v>14</v>
      </c>
      <c r="U47" s="705">
        <f t="shared" si="13"/>
        <v>100</v>
      </c>
      <c r="V47" s="704" t="s">
        <v>14</v>
      </c>
      <c r="W47" s="705">
        <f t="shared" si="14"/>
        <v>100</v>
      </c>
      <c r="X47" s="1354"/>
      <c r="Y47" s="368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5" t="str">
        <f>A48</f>
        <v>成交单价（元/平方米）</v>
      </c>
      <c r="Q48" s="3670"/>
      <c r="R48" s="3671">
        <f>E48</f>
        <v>0</v>
      </c>
      <c r="S48" s="3671"/>
      <c r="T48" s="3671">
        <f>G48</f>
        <v>0</v>
      </c>
      <c r="U48" s="3671"/>
      <c r="V48" s="3671">
        <f>I48</f>
        <v>0</v>
      </c>
      <c r="W48" s="3671"/>
      <c r="X48" s="397"/>
      <c r="Y48" s="711"/>
      <c r="Z48" s="397"/>
      <c r="AA48" s="397"/>
      <c r="AB48" s="397"/>
      <c r="AC48" s="577"/>
    </row>
    <row r="49" spans="1:29" ht="15.75" thickBot="1">
      <c r="A49" s="437" t="s">
        <v>1793</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85"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241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912"/>
      <c r="M4" s="913"/>
      <c r="N4" s="913"/>
      <c r="O4" s="913"/>
      <c r="P4" s="3693" t="s">
        <v>1775</v>
      </c>
      <c r="Q4" s="3694"/>
      <c r="R4" s="3699" t="s">
        <v>1771</v>
      </c>
      <c r="S4" s="3700"/>
      <c r="T4" s="3699" t="s">
        <v>1772</v>
      </c>
      <c r="U4" s="3700"/>
      <c r="V4" s="3684" t="s">
        <v>1773</v>
      </c>
      <c r="W4" s="3684"/>
      <c r="X4" s="1354"/>
      <c r="Y4" s="3699" t="s">
        <v>1775</v>
      </c>
      <c r="Z4" s="3700"/>
      <c r="AA4" s="3686" t="s">
        <v>1771</v>
      </c>
      <c r="AB4" s="3687" t="s">
        <v>1772</v>
      </c>
      <c r="AC4" s="3686" t="s">
        <v>1773</v>
      </c>
    </row>
    <row r="5" spans="1:29" ht="15">
      <c r="A5" s="358"/>
      <c r="B5" s="359"/>
      <c r="C5" s="3707" t="s">
        <v>1673</v>
      </c>
      <c r="D5" s="3708"/>
      <c r="E5" s="3714" t="s">
        <v>1674</v>
      </c>
      <c r="F5" s="3715"/>
      <c r="G5" s="3707" t="s">
        <v>1675</v>
      </c>
      <c r="H5" s="3708"/>
      <c r="I5" s="3707" t="s">
        <v>1676</v>
      </c>
      <c r="J5" s="3708"/>
      <c r="K5" s="559"/>
      <c r="L5" s="912"/>
      <c r="M5" s="913"/>
      <c r="N5" s="913"/>
      <c r="O5" s="913"/>
      <c r="P5" s="3695"/>
      <c r="Q5" s="3696"/>
      <c r="R5" s="3701"/>
      <c r="S5" s="3702"/>
      <c r="T5" s="3701"/>
      <c r="U5" s="3702"/>
      <c r="V5" s="3684"/>
      <c r="W5" s="3684"/>
      <c r="X5" s="1354"/>
      <c r="Y5" s="3701"/>
      <c r="Z5" s="3702"/>
      <c r="AA5" s="3687"/>
      <c r="AB5" s="3687"/>
      <c r="AC5" s="3687"/>
    </row>
    <row r="6" spans="1:29" ht="15.75" thickBot="1">
      <c r="A6" s="360"/>
      <c r="B6" s="361"/>
      <c r="C6" s="3705" t="s">
        <v>1677</v>
      </c>
      <c r="D6" s="3706"/>
      <c r="E6" s="3712" t="s">
        <v>1677</v>
      </c>
      <c r="F6" s="3713"/>
      <c r="G6" s="3705" t="s">
        <v>1677</v>
      </c>
      <c r="H6" s="3706"/>
      <c r="I6" s="3705" t="s">
        <v>1677</v>
      </c>
      <c r="J6" s="3706"/>
      <c r="K6" s="559" t="s">
        <v>1678</v>
      </c>
      <c r="L6" s="912"/>
      <c r="M6" s="913"/>
      <c r="N6" s="913"/>
      <c r="O6" s="913"/>
      <c r="P6" s="3697"/>
      <c r="Q6" s="3698"/>
      <c r="R6" s="3701"/>
      <c r="S6" s="3702"/>
      <c r="T6" s="3703"/>
      <c r="U6" s="3704"/>
      <c r="V6" s="3684"/>
      <c r="W6" s="3684"/>
      <c r="X6" s="1354"/>
      <c r="Y6" s="3703"/>
      <c r="Z6" s="3704"/>
      <c r="AA6" s="3688"/>
      <c r="AB6" s="3688"/>
      <c r="AC6" s="3688"/>
    </row>
    <row r="7" spans="1:29" s="108" customFormat="1" ht="15.75" thickBot="1">
      <c r="A7" s="362" t="s">
        <v>1679</v>
      </c>
      <c r="B7" s="363"/>
      <c r="C7" s="364">
        <f>'数据-取费表'!B2</f>
        <v>45432</v>
      </c>
      <c r="D7" s="365">
        <v>100</v>
      </c>
      <c r="E7" s="366"/>
      <c r="F7" s="367">
        <f>SUMIF(52:52,YEAR(E7)&amp;"-"&amp;MONTH(E7),53:53)</f>
        <v>0</v>
      </c>
      <c r="G7" s="366"/>
      <c r="H7" s="365">
        <f>SUMIF(52:52,YEAR(G7)&amp;"-"&amp;MONTH(G7),53:53)</f>
        <v>0</v>
      </c>
      <c r="I7" s="366"/>
      <c r="J7" s="365">
        <f>SUMIF(52:52,YEAR(I7)&amp;"-"&amp;MONTH(I7),53:53)</f>
        <v>0</v>
      </c>
      <c r="K7" s="560"/>
      <c r="L7" s="914"/>
      <c r="M7" s="915"/>
      <c r="N7" s="915"/>
      <c r="O7" s="915"/>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9" t="s">
        <v>1683</v>
      </c>
      <c r="Q8" s="3710"/>
      <c r="R8" s="700" t="s">
        <v>14</v>
      </c>
      <c r="S8" s="701">
        <f t="shared" si="0"/>
        <v>100</v>
      </c>
      <c r="T8" s="700" t="s">
        <v>14</v>
      </c>
      <c r="U8" s="701">
        <f t="shared" si="1"/>
        <v>100</v>
      </c>
      <c r="V8" s="700" t="s">
        <v>14</v>
      </c>
      <c r="W8" s="701">
        <f t="shared" si="2"/>
        <v>100</v>
      </c>
      <c r="X8" s="702"/>
      <c r="Y8" s="3709" t="s">
        <v>1683</v>
      </c>
      <c r="Z8" s="371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0"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70"/>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0"/>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0"/>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0"/>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0"/>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8"/>
      <c r="Q16" s="1351"/>
      <c r="R16" s="704"/>
      <c r="S16" s="705"/>
      <c r="T16" s="704"/>
      <c r="U16" s="705"/>
      <c r="V16" s="704"/>
      <c r="W16" s="705"/>
      <c r="X16" s="1354"/>
      <c r="Y16" s="367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8"/>
      <c r="Q18" s="1351"/>
      <c r="R18" s="704"/>
      <c r="S18" s="705"/>
      <c r="T18" s="704"/>
      <c r="U18" s="705"/>
      <c r="V18" s="704"/>
      <c r="W18" s="705"/>
      <c r="X18" s="1354"/>
      <c r="Y18" s="367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8"/>
      <c r="Q19" s="1351" t="str">
        <f>B19</f>
        <v>公共配套设施</v>
      </c>
      <c r="R19" s="704" t="s">
        <v>14</v>
      </c>
      <c r="S19" s="705">
        <f>F19</f>
        <v>100</v>
      </c>
      <c r="T19" s="704" t="s">
        <v>14</v>
      </c>
      <c r="U19" s="705">
        <f>H19</f>
        <v>100</v>
      </c>
      <c r="V19" s="704" t="s">
        <v>14</v>
      </c>
      <c r="W19" s="705">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8"/>
      <c r="Q20" s="1351"/>
      <c r="R20" s="704"/>
      <c r="S20" s="705"/>
      <c r="T20" s="704"/>
      <c r="U20" s="705"/>
      <c r="V20" s="704"/>
      <c r="W20" s="705"/>
      <c r="X20" s="1354"/>
      <c r="Y20" s="367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8"/>
      <c r="Q21" s="1351" t="str">
        <f>B21</f>
        <v>基础设施水平</v>
      </c>
      <c r="R21" s="704" t="s">
        <v>14</v>
      </c>
      <c r="S21" s="705">
        <f>F21</f>
        <v>100</v>
      </c>
      <c r="T21" s="704" t="s">
        <v>14</v>
      </c>
      <c r="U21" s="705">
        <f>H21</f>
        <v>100</v>
      </c>
      <c r="V21" s="704" t="s">
        <v>14</v>
      </c>
      <c r="W21" s="705">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8"/>
      <c r="Q22" s="1351"/>
      <c r="R22" s="704"/>
      <c r="S22" s="705"/>
      <c r="T22" s="704"/>
      <c r="U22" s="705"/>
      <c r="V22" s="704"/>
      <c r="W22" s="705"/>
      <c r="X22" s="1354"/>
      <c r="Y22" s="367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8"/>
      <c r="Q23" s="1351" t="str">
        <f>B23</f>
        <v>环境质量</v>
      </c>
      <c r="R23" s="704" t="s">
        <v>14</v>
      </c>
      <c r="S23" s="705">
        <f>F23</f>
        <v>100</v>
      </c>
      <c r="T23" s="704" t="s">
        <v>14</v>
      </c>
      <c r="U23" s="705">
        <f>H23</f>
        <v>100</v>
      </c>
      <c r="V23" s="704" t="s">
        <v>14</v>
      </c>
      <c r="W23" s="705">
        <f>J23</f>
        <v>100</v>
      </c>
      <c r="X23" s="1354"/>
      <c r="Y23" s="367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8"/>
      <c r="Q24" s="1351"/>
      <c r="R24" s="704"/>
      <c r="S24" s="705"/>
      <c r="T24" s="704"/>
      <c r="U24" s="705"/>
      <c r="V24" s="704"/>
      <c r="W24" s="705"/>
      <c r="X24" s="1354"/>
      <c r="Y24" s="367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8"/>
      <c r="Q25" s="1351">
        <f>B25</f>
        <v>111</v>
      </c>
      <c r="R25" s="704" t="s">
        <v>14</v>
      </c>
      <c r="S25" s="705">
        <f>F25</f>
        <v>100</v>
      </c>
      <c r="T25" s="704" t="s">
        <v>14</v>
      </c>
      <c r="U25" s="705">
        <f>H25</f>
        <v>100</v>
      </c>
      <c r="V25" s="704" t="s">
        <v>14</v>
      </c>
      <c r="W25" s="705">
        <f>J25</f>
        <v>100</v>
      </c>
      <c r="X25" s="1354"/>
      <c r="Y25" s="367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8"/>
      <c r="Q26" s="1351">
        <f t="shared" ref="Q26:Q40" si="11">B26</f>
        <v>111</v>
      </c>
      <c r="R26" s="704" t="s">
        <v>14</v>
      </c>
      <c r="S26" s="705">
        <f>F26</f>
        <v>100</v>
      </c>
      <c r="T26" s="704" t="s">
        <v>14</v>
      </c>
      <c r="U26" s="705">
        <f>H26</f>
        <v>100</v>
      </c>
      <c r="V26" s="704" t="s">
        <v>14</v>
      </c>
      <c r="W26" s="705">
        <f>J26</f>
        <v>100</v>
      </c>
      <c r="X26" s="1354"/>
      <c r="Y26" s="367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8"/>
      <c r="Q27" s="1342">
        <f t="shared" si="11"/>
        <v>111</v>
      </c>
      <c r="R27" s="700" t="s">
        <v>14</v>
      </c>
      <c r="S27" s="701">
        <f>F27</f>
        <v>100</v>
      </c>
      <c r="T27" s="700" t="s">
        <v>14</v>
      </c>
      <c r="U27" s="701">
        <f>H27</f>
        <v>100</v>
      </c>
      <c r="V27" s="700" t="s">
        <v>14</v>
      </c>
      <c r="W27" s="701">
        <f>J27</f>
        <v>100</v>
      </c>
      <c r="X27" s="702"/>
      <c r="Y27" s="367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8"/>
      <c r="Q28" s="1351">
        <f t="shared" si="11"/>
        <v>111</v>
      </c>
      <c r="R28" s="704" t="s">
        <v>14</v>
      </c>
      <c r="S28" s="705">
        <f t="shared" ref="S28:S40" si="12">F28</f>
        <v>100</v>
      </c>
      <c r="T28" s="704" t="s">
        <v>14</v>
      </c>
      <c r="U28" s="705">
        <f t="shared" ref="U28:U40" si="13">H28</f>
        <v>100</v>
      </c>
      <c r="V28" s="704" t="s">
        <v>14</v>
      </c>
      <c r="W28" s="705">
        <f t="shared" ref="W28:W40" si="14">J28</f>
        <v>100</v>
      </c>
      <c r="X28" s="1354"/>
      <c r="Y28" s="367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2" t="s">
        <v>1696</v>
      </c>
      <c r="Q29" s="1351" t="str">
        <f t="shared" si="11"/>
        <v>建筑类型</v>
      </c>
      <c r="R29" s="704" t="s">
        <v>14</v>
      </c>
      <c r="S29" s="705">
        <f t="shared" si="12"/>
        <v>100</v>
      </c>
      <c r="T29" s="704" t="s">
        <v>14</v>
      </c>
      <c r="U29" s="705">
        <f t="shared" si="13"/>
        <v>100</v>
      </c>
      <c r="V29" s="704" t="s">
        <v>14</v>
      </c>
      <c r="W29" s="705">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2"/>
      <c r="Q30" s="706" t="str">
        <f t="shared" si="11"/>
        <v>项目建筑规模</v>
      </c>
      <c r="R30" s="707" t="s">
        <v>14</v>
      </c>
      <c r="S30" s="708" t="e">
        <f t="shared" si="12"/>
        <v>#N/A</v>
      </c>
      <c r="T30" s="707" t="s">
        <v>14</v>
      </c>
      <c r="U30" s="708" t="e">
        <f t="shared" si="13"/>
        <v>#N/A</v>
      </c>
      <c r="V30" s="707" t="s">
        <v>14</v>
      </c>
      <c r="W30" s="708" t="e">
        <f t="shared" si="14"/>
        <v>#N/A</v>
      </c>
      <c r="X30" s="709"/>
      <c r="Y30" s="368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2"/>
      <c r="Q31" s="1351" t="str">
        <f t="shared" si="11"/>
        <v>建筑结构</v>
      </c>
      <c r="R31" s="704" t="s">
        <v>14</v>
      </c>
      <c r="S31" s="705">
        <f t="shared" si="12"/>
        <v>100</v>
      </c>
      <c r="T31" s="704" t="s">
        <v>14</v>
      </c>
      <c r="U31" s="705">
        <f t="shared" si="13"/>
        <v>100</v>
      </c>
      <c r="V31" s="704" t="s">
        <v>14</v>
      </c>
      <c r="W31" s="705">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2"/>
      <c r="Q32" s="1351" t="str">
        <f t="shared" si="11"/>
        <v>公共部分装修</v>
      </c>
      <c r="R32" s="704" t="s">
        <v>14</v>
      </c>
      <c r="S32" s="705">
        <f t="shared" si="12"/>
        <v>100</v>
      </c>
      <c r="T32" s="704" t="s">
        <v>14</v>
      </c>
      <c r="U32" s="705">
        <f t="shared" si="13"/>
        <v>100</v>
      </c>
      <c r="V32" s="704" t="s">
        <v>14</v>
      </c>
      <c r="W32" s="705">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2"/>
      <c r="Q33" s="1351" t="str">
        <f t="shared" si="11"/>
        <v>成新度</v>
      </c>
      <c r="R33" s="704" t="s">
        <v>14</v>
      </c>
      <c r="S33" s="705" t="e">
        <f t="shared" si="12"/>
        <v>#N/A</v>
      </c>
      <c r="T33" s="704" t="s">
        <v>14</v>
      </c>
      <c r="U33" s="705" t="e">
        <f t="shared" si="13"/>
        <v>#N/A</v>
      </c>
      <c r="V33" s="704" t="s">
        <v>14</v>
      </c>
      <c r="W33" s="705"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2"/>
      <c r="Q34" s="1342" t="str">
        <f t="shared" si="11"/>
        <v>物业管理</v>
      </c>
      <c r="R34" s="700" t="s">
        <v>14</v>
      </c>
      <c r="S34" s="701">
        <f t="shared" si="12"/>
        <v>100</v>
      </c>
      <c r="T34" s="700" t="s">
        <v>14</v>
      </c>
      <c r="U34" s="701">
        <f t="shared" si="13"/>
        <v>100</v>
      </c>
      <c r="V34" s="700" t="s">
        <v>14</v>
      </c>
      <c r="W34" s="701">
        <f t="shared" si="14"/>
        <v>100</v>
      </c>
      <c r="X34" s="702"/>
      <c r="Y34" s="368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2" t="s">
        <v>1696</v>
      </c>
      <c r="Q35" s="1351" t="str">
        <f t="shared" si="11"/>
        <v>市政基础设施</v>
      </c>
      <c r="R35" s="704" t="s">
        <v>14</v>
      </c>
      <c r="S35" s="705">
        <f t="shared" si="12"/>
        <v>100</v>
      </c>
      <c r="T35" s="704" t="s">
        <v>14</v>
      </c>
      <c r="U35" s="705">
        <f t="shared" si="13"/>
        <v>100</v>
      </c>
      <c r="V35" s="704" t="s">
        <v>14</v>
      </c>
      <c r="W35" s="705">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2"/>
      <c r="Q36" s="1351" t="str">
        <f t="shared" si="11"/>
        <v>内部装修</v>
      </c>
      <c r="R36" s="704" t="s">
        <v>14</v>
      </c>
      <c r="S36" s="705">
        <f t="shared" si="12"/>
        <v>100</v>
      </c>
      <c r="T36" s="704" t="s">
        <v>14</v>
      </c>
      <c r="U36" s="705">
        <f t="shared" si="13"/>
        <v>100</v>
      </c>
      <c r="V36" s="704" t="s">
        <v>14</v>
      </c>
      <c r="W36" s="705">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2"/>
      <c r="Q37" s="1351" t="str">
        <f t="shared" si="11"/>
        <v>内部装修状况</v>
      </c>
      <c r="R37" s="704" t="s">
        <v>14</v>
      </c>
      <c r="S37" s="705">
        <f t="shared" si="12"/>
        <v>100</v>
      </c>
      <c r="T37" s="704" t="s">
        <v>14</v>
      </c>
      <c r="U37" s="705">
        <f t="shared" si="13"/>
        <v>100</v>
      </c>
      <c r="V37" s="704" t="s">
        <v>14</v>
      </c>
      <c r="W37" s="705">
        <f t="shared" si="14"/>
        <v>100</v>
      </c>
      <c r="X37" s="1354"/>
      <c r="Y37" s="368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2"/>
      <c r="Q38" s="706">
        <f t="shared" si="11"/>
        <v>111</v>
      </c>
      <c r="R38" s="707" t="s">
        <v>14</v>
      </c>
      <c r="S38" s="708">
        <f t="shared" si="12"/>
        <v>100</v>
      </c>
      <c r="T38" s="707" t="s">
        <v>14</v>
      </c>
      <c r="U38" s="708">
        <f t="shared" si="13"/>
        <v>100</v>
      </c>
      <c r="V38" s="707" t="s">
        <v>14</v>
      </c>
      <c r="W38" s="708">
        <f t="shared" si="14"/>
        <v>100</v>
      </c>
      <c r="X38" s="709"/>
      <c r="Y38" s="368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2"/>
      <c r="Q39" s="1351">
        <f t="shared" si="11"/>
        <v>111</v>
      </c>
      <c r="R39" s="704" t="s">
        <v>14</v>
      </c>
      <c r="S39" s="705">
        <f t="shared" si="12"/>
        <v>100</v>
      </c>
      <c r="T39" s="704" t="s">
        <v>14</v>
      </c>
      <c r="U39" s="705">
        <f t="shared" si="13"/>
        <v>100</v>
      </c>
      <c r="V39" s="704" t="s">
        <v>14</v>
      </c>
      <c r="W39" s="705">
        <f t="shared" si="14"/>
        <v>100</v>
      </c>
      <c r="X39" s="1354"/>
      <c r="Y39" s="368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3"/>
      <c r="Q40" s="1351">
        <f t="shared" si="11"/>
        <v>111</v>
      </c>
      <c r="R40" s="704" t="s">
        <v>14</v>
      </c>
      <c r="S40" s="705">
        <f t="shared" si="12"/>
        <v>100</v>
      </c>
      <c r="T40" s="704" t="s">
        <v>14</v>
      </c>
      <c r="U40" s="705">
        <f t="shared" si="13"/>
        <v>100</v>
      </c>
      <c r="V40" s="704" t="s">
        <v>14</v>
      </c>
      <c r="W40" s="705">
        <f t="shared" si="14"/>
        <v>100</v>
      </c>
      <c r="X40" s="1354"/>
      <c r="Y40" s="368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0" t="str">
        <f>A41</f>
        <v>成交单价（元/平方米）</v>
      </c>
      <c r="Q41" s="3670"/>
      <c r="R41" s="3671">
        <f>E41</f>
        <v>0</v>
      </c>
      <c r="S41" s="3671"/>
      <c r="T41" s="3671">
        <f>G41</f>
        <v>0</v>
      </c>
      <c r="U41" s="3671"/>
      <c r="V41" s="3671">
        <f>I41</f>
        <v>0</v>
      </c>
      <c r="W41" s="3671"/>
      <c r="X41" s="689"/>
      <c r="Y41" s="711"/>
      <c r="Z41" s="689"/>
      <c r="AA41" s="689"/>
      <c r="AB41" s="689"/>
      <c r="AC41" s="689"/>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684" t="s">
        <v>1773</v>
      </c>
      <c r="W4" s="3684"/>
      <c r="X4" s="1354"/>
      <c r="Y4" s="3699" t="s">
        <v>1775</v>
      </c>
      <c r="Z4" s="3700"/>
      <c r="AA4" s="3686" t="s">
        <v>1771</v>
      </c>
      <c r="AB4" s="3687" t="s">
        <v>1772</v>
      </c>
      <c r="AC4" s="3686" t="s">
        <v>1773</v>
      </c>
    </row>
    <row r="5" spans="1:29" ht="15">
      <c r="A5" s="358"/>
      <c r="B5" s="359"/>
      <c r="C5" s="3707" t="s">
        <v>1673</v>
      </c>
      <c r="D5" s="3708"/>
      <c r="E5" s="3714" t="s">
        <v>1674</v>
      </c>
      <c r="F5" s="3715"/>
      <c r="G5" s="3707" t="s">
        <v>1675</v>
      </c>
      <c r="H5" s="3708"/>
      <c r="I5" s="3707" t="s">
        <v>1676</v>
      </c>
      <c r="J5" s="3708"/>
      <c r="K5" s="559"/>
      <c r="L5" s="2714"/>
      <c r="M5" s="2715"/>
      <c r="N5" s="2715"/>
      <c r="O5" s="2715"/>
      <c r="P5" s="3695"/>
      <c r="Q5" s="3696"/>
      <c r="R5" s="3701"/>
      <c r="S5" s="3702"/>
      <c r="T5" s="3701"/>
      <c r="U5" s="3702"/>
      <c r="V5" s="3684"/>
      <c r="W5" s="3684"/>
      <c r="X5" s="1354"/>
      <c r="Y5" s="3701"/>
      <c r="Z5" s="3702"/>
      <c r="AA5" s="3687"/>
      <c r="AB5" s="3687"/>
      <c r="AC5" s="3687"/>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7"/>
      <c r="Q6" s="3698"/>
      <c r="R6" s="3701"/>
      <c r="S6" s="3702"/>
      <c r="T6" s="3703"/>
      <c r="U6" s="3704"/>
      <c r="V6" s="3684"/>
      <c r="W6" s="3684"/>
      <c r="X6" s="1354"/>
      <c r="Y6" s="3703"/>
      <c r="Z6" s="3704"/>
      <c r="AA6" s="3688"/>
      <c r="AB6" s="3688"/>
      <c r="AC6" s="3688"/>
    </row>
    <row r="7" spans="1:29" s="108" customFormat="1" ht="15.75" thickBot="1">
      <c r="A7" s="362" t="s">
        <v>1679</v>
      </c>
      <c r="B7" s="363"/>
      <c r="C7" s="364">
        <f>'数据-取费表'!B2</f>
        <v>45432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1680</v>
      </c>
      <c r="Q7" s="3711"/>
      <c r="R7" s="700" t="s">
        <v>14</v>
      </c>
      <c r="S7" s="701">
        <f t="shared" ref="S7:S14" si="0">F7</f>
        <v>0</v>
      </c>
      <c r="T7" s="700" t="s">
        <v>14</v>
      </c>
      <c r="U7" s="701">
        <f t="shared" ref="U7:U14" si="1">H7</f>
        <v>0</v>
      </c>
      <c r="V7" s="700" t="s">
        <v>14</v>
      </c>
      <c r="W7" s="701">
        <f t="shared" ref="W7:W14"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0"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670"/>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0"/>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0"/>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0"/>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8"/>
      <c r="Q15" s="1351"/>
      <c r="R15" s="704"/>
      <c r="S15" s="705"/>
      <c r="T15" s="704"/>
      <c r="U15" s="705"/>
      <c r="V15" s="704"/>
      <c r="W15" s="705"/>
      <c r="X15" s="1354"/>
      <c r="Y15" s="3678"/>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8"/>
      <c r="Q17" s="1351"/>
      <c r="R17" s="704"/>
      <c r="S17" s="705"/>
      <c r="T17" s="704"/>
      <c r="U17" s="705"/>
      <c r="V17" s="704"/>
      <c r="W17" s="705"/>
      <c r="X17" s="1354"/>
      <c r="Y17" s="3678"/>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8"/>
      <c r="Q19" s="1351"/>
      <c r="R19" s="704"/>
      <c r="S19" s="705"/>
      <c r="T19" s="704"/>
      <c r="U19" s="705"/>
      <c r="V19" s="704"/>
      <c r="W19" s="705"/>
      <c r="X19" s="1354"/>
      <c r="Y19" s="3678"/>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8"/>
      <c r="Q21" s="1351"/>
      <c r="R21" s="704"/>
      <c r="S21" s="705"/>
      <c r="T21" s="704"/>
      <c r="U21" s="705"/>
      <c r="V21" s="704"/>
      <c r="W21" s="705"/>
      <c r="X21" s="1354"/>
      <c r="Y21" s="367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8"/>
      <c r="Q24" s="1351">
        <f t="shared" ref="Q24:Q36"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2"/>
      <c r="Q27" s="706" t="str">
        <f t="shared" si="11"/>
        <v>项目停车位配比</v>
      </c>
      <c r="R27" s="707" t="s">
        <v>14</v>
      </c>
      <c r="S27" s="708">
        <f t="shared" si="12"/>
        <v>100</v>
      </c>
      <c r="T27" s="707" t="s">
        <v>14</v>
      </c>
      <c r="U27" s="708">
        <f t="shared" si="13"/>
        <v>100</v>
      </c>
      <c r="V27" s="707" t="s">
        <v>14</v>
      </c>
      <c r="W27" s="708">
        <f t="shared" si="14"/>
        <v>100</v>
      </c>
      <c r="X27" s="709"/>
      <c r="Y27" s="368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2"/>
      <c r="Q28" s="1351" t="str">
        <f t="shared" si="11"/>
        <v>公共部分装修</v>
      </c>
      <c r="R28" s="704" t="s">
        <v>14</v>
      </c>
      <c r="S28" s="705">
        <f t="shared" si="12"/>
        <v>100</v>
      </c>
      <c r="T28" s="704" t="s">
        <v>14</v>
      </c>
      <c r="U28" s="705">
        <f t="shared" si="13"/>
        <v>100</v>
      </c>
      <c r="V28" s="704" t="s">
        <v>14</v>
      </c>
      <c r="W28" s="705">
        <f t="shared" si="14"/>
        <v>100</v>
      </c>
      <c r="X28" s="1354"/>
      <c r="Y28" s="368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2"/>
      <c r="Q29" s="1351" t="str">
        <f t="shared" si="11"/>
        <v>成新率</v>
      </c>
      <c r="R29" s="704" t="s">
        <v>14</v>
      </c>
      <c r="S29" s="705" t="e">
        <f t="shared" si="12"/>
        <v>#N/A</v>
      </c>
      <c r="T29" s="704" t="s">
        <v>14</v>
      </c>
      <c r="U29" s="705" t="e">
        <f t="shared" si="13"/>
        <v>#N/A</v>
      </c>
      <c r="V29" s="704" t="s">
        <v>14</v>
      </c>
      <c r="W29" s="705" t="e">
        <f t="shared" si="14"/>
        <v>#N/A</v>
      </c>
      <c r="X29" s="1354"/>
      <c r="Y29" s="368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2"/>
      <c r="Q30" s="1351" t="str">
        <f t="shared" si="11"/>
        <v>物业等级</v>
      </c>
      <c r="R30" s="704" t="s">
        <v>14</v>
      </c>
      <c r="S30" s="705">
        <f t="shared" si="12"/>
        <v>100</v>
      </c>
      <c r="T30" s="704" t="s">
        <v>14</v>
      </c>
      <c r="U30" s="705">
        <f t="shared" si="13"/>
        <v>100</v>
      </c>
      <c r="V30" s="704" t="s">
        <v>14</v>
      </c>
      <c r="W30" s="705">
        <f t="shared" si="14"/>
        <v>100</v>
      </c>
      <c r="X30" s="1354"/>
      <c r="Y30" s="368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2"/>
      <c r="Q31" s="1342" t="str">
        <f t="shared" si="11"/>
        <v>停车位面积</v>
      </c>
      <c r="R31" s="700" t="s">
        <v>14</v>
      </c>
      <c r="S31" s="701" t="e">
        <f t="shared" si="12"/>
        <v>#N/A</v>
      </c>
      <c r="T31" s="700" t="s">
        <v>14</v>
      </c>
      <c r="U31" s="701" t="e">
        <f t="shared" si="13"/>
        <v>#N/A</v>
      </c>
      <c r="V31" s="700" t="s">
        <v>14</v>
      </c>
      <c r="W31" s="701" t="e">
        <f t="shared" si="14"/>
        <v>#N/A</v>
      </c>
      <c r="X31" s="702"/>
      <c r="Y31" s="368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2" t="s">
        <v>1696</v>
      </c>
      <c r="Q32" s="1351" t="str">
        <f t="shared" si="11"/>
        <v>车位类型</v>
      </c>
      <c r="R32" s="704" t="s">
        <v>14</v>
      </c>
      <c r="S32" s="705">
        <f t="shared" si="12"/>
        <v>100</v>
      </c>
      <c r="T32" s="704" t="s">
        <v>14</v>
      </c>
      <c r="U32" s="705">
        <f t="shared" si="13"/>
        <v>100</v>
      </c>
      <c r="V32" s="704" t="s">
        <v>14</v>
      </c>
      <c r="W32" s="705">
        <f t="shared" si="14"/>
        <v>100</v>
      </c>
      <c r="X32" s="1354"/>
      <c r="Y32" s="368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2"/>
      <c r="Q33" s="1351" t="str">
        <f t="shared" si="11"/>
        <v>是否直接入户</v>
      </c>
      <c r="R33" s="704" t="s">
        <v>14</v>
      </c>
      <c r="S33" s="705">
        <f t="shared" si="12"/>
        <v>100</v>
      </c>
      <c r="T33" s="704" t="s">
        <v>14</v>
      </c>
      <c r="U33" s="705">
        <f t="shared" si="13"/>
        <v>100</v>
      </c>
      <c r="V33" s="704" t="s">
        <v>14</v>
      </c>
      <c r="W33" s="705">
        <f t="shared" si="14"/>
        <v>100</v>
      </c>
      <c r="X33" s="1354"/>
      <c r="Y33" s="368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2"/>
      <c r="Q35" s="706">
        <f t="shared" si="11"/>
        <v>111</v>
      </c>
      <c r="R35" s="707" t="s">
        <v>14</v>
      </c>
      <c r="S35" s="708">
        <f t="shared" si="12"/>
        <v>100</v>
      </c>
      <c r="T35" s="707" t="s">
        <v>14</v>
      </c>
      <c r="U35" s="708">
        <f t="shared" si="13"/>
        <v>100</v>
      </c>
      <c r="V35" s="707" t="s">
        <v>14</v>
      </c>
      <c r="W35" s="708">
        <f t="shared" si="14"/>
        <v>100</v>
      </c>
      <c r="X35" s="709"/>
      <c r="Y35" s="368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2"/>
      <c r="Q36" s="1351">
        <f t="shared" si="11"/>
        <v>111</v>
      </c>
      <c r="R36" s="704" t="s">
        <v>14</v>
      </c>
      <c r="S36" s="705">
        <f t="shared" si="12"/>
        <v>100</v>
      </c>
      <c r="T36" s="704" t="s">
        <v>14</v>
      </c>
      <c r="U36" s="705">
        <f t="shared" si="13"/>
        <v>100</v>
      </c>
      <c r="V36" s="704" t="s">
        <v>14</v>
      </c>
      <c r="W36" s="705">
        <f t="shared" si="14"/>
        <v>100</v>
      </c>
      <c r="X36" s="1354"/>
      <c r="Y36" s="3682"/>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3"/>
      <c r="M37" s="2724"/>
      <c r="N37" s="2715"/>
      <c r="O37" s="2724"/>
      <c r="P37" s="3670" t="str">
        <f>A37</f>
        <v>成交单价</v>
      </c>
      <c r="Q37" s="3670"/>
      <c r="R37" s="3671">
        <f>E37</f>
        <v>0</v>
      </c>
      <c r="S37" s="3671"/>
      <c r="T37" s="3671">
        <f>G37</f>
        <v>0</v>
      </c>
      <c r="U37" s="3671"/>
      <c r="V37" s="3671">
        <f>I37</f>
        <v>0</v>
      </c>
      <c r="W37" s="3671"/>
      <c r="X37" s="689"/>
      <c r="Y37" s="711"/>
      <c r="Z37" s="689"/>
      <c r="AA37" s="689"/>
      <c r="AB37" s="689"/>
      <c r="AC37" s="689"/>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2" t="str">
        <f>A39</f>
        <v>估价对象XX用房的比较价值（楼面单价，元/平方米）</v>
      </c>
      <c r="Q39" s="3673"/>
      <c r="R39" s="3753" t="e">
        <f>IF(F1="售价",ROUND(IF(D38="简单平均",AVERAGE(R38:W38),R38*F38+T38*H38+V38*J38),0),ROUND(IF(D38="简单平均",AVERAGE(R38:V38),R38*F38+T38*H38+V38*J38),1))</f>
        <v>#DIV/0!</v>
      </c>
      <c r="S39" s="3753"/>
      <c r="T39" s="3753"/>
      <c r="U39" s="3753"/>
      <c r="V39" s="3753"/>
      <c r="W39" s="375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684" t="s">
        <v>1773</v>
      </c>
      <c r="W4" s="3684"/>
      <c r="X4" s="1354"/>
      <c r="Y4" s="3699" t="s">
        <v>1775</v>
      </c>
      <c r="Z4" s="3700"/>
      <c r="AA4" s="3686" t="s">
        <v>1771</v>
      </c>
      <c r="AB4" s="3687" t="s">
        <v>1772</v>
      </c>
      <c r="AC4" s="3686" t="s">
        <v>1773</v>
      </c>
    </row>
    <row r="5" spans="1:29" ht="15">
      <c r="A5" s="358"/>
      <c r="B5" s="359"/>
      <c r="C5" s="3707" t="s">
        <v>1673</v>
      </c>
      <c r="D5" s="3708"/>
      <c r="E5" s="3714" t="s">
        <v>1674</v>
      </c>
      <c r="F5" s="3715"/>
      <c r="G5" s="3707" t="s">
        <v>1675</v>
      </c>
      <c r="H5" s="3708"/>
      <c r="I5" s="3707" t="s">
        <v>1676</v>
      </c>
      <c r="J5" s="3708"/>
      <c r="K5" s="559"/>
      <c r="L5" s="2714"/>
      <c r="M5" s="2715"/>
      <c r="N5" s="2715"/>
      <c r="O5" s="2715"/>
      <c r="P5" s="3695"/>
      <c r="Q5" s="3696"/>
      <c r="R5" s="3701"/>
      <c r="S5" s="3702"/>
      <c r="T5" s="3701"/>
      <c r="U5" s="3702"/>
      <c r="V5" s="3684"/>
      <c r="W5" s="3684"/>
      <c r="X5" s="1354"/>
      <c r="Y5" s="3701"/>
      <c r="Z5" s="3702"/>
      <c r="AA5" s="3687"/>
      <c r="AB5" s="3687"/>
      <c r="AC5" s="3687"/>
    </row>
    <row r="6" spans="1:29" ht="15.75" thickBot="1">
      <c r="A6" s="360"/>
      <c r="B6" s="361"/>
      <c r="C6" s="3705" t="s">
        <v>1677</v>
      </c>
      <c r="D6" s="3706"/>
      <c r="E6" s="3712" t="s">
        <v>1677</v>
      </c>
      <c r="F6" s="3713"/>
      <c r="G6" s="3705" t="s">
        <v>1677</v>
      </c>
      <c r="H6" s="3706"/>
      <c r="I6" s="3705" t="s">
        <v>1677</v>
      </c>
      <c r="J6" s="3706"/>
      <c r="K6" s="559" t="s">
        <v>1678</v>
      </c>
      <c r="L6" s="2714"/>
      <c r="M6" s="2715"/>
      <c r="N6" s="2715"/>
      <c r="O6" s="2715"/>
      <c r="P6" s="3697"/>
      <c r="Q6" s="3698"/>
      <c r="R6" s="3701"/>
      <c r="S6" s="3702"/>
      <c r="T6" s="3703"/>
      <c r="U6" s="3704"/>
      <c r="V6" s="3684"/>
      <c r="W6" s="3684"/>
      <c r="X6" s="1354"/>
      <c r="Y6" s="3703"/>
      <c r="Z6" s="3704"/>
      <c r="AA6" s="3688"/>
      <c r="AB6" s="3688"/>
      <c r="AC6" s="3688"/>
    </row>
    <row r="7" spans="1:29" s="108" customFormat="1" ht="15.75" thickBot="1">
      <c r="A7" s="362" t="s">
        <v>1679</v>
      </c>
      <c r="B7" s="363"/>
      <c r="C7" s="364">
        <f>'数据-取费表'!B2</f>
        <v>45432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9" t="s">
        <v>1680</v>
      </c>
      <c r="Q7" s="3711"/>
      <c r="R7" s="700" t="s">
        <v>14</v>
      </c>
      <c r="S7" s="701">
        <f t="shared" ref="S7:S14" si="0">F7</f>
        <v>0</v>
      </c>
      <c r="T7" s="700" t="s">
        <v>14</v>
      </c>
      <c r="U7" s="701">
        <f t="shared" ref="U7:U14" si="1">H7</f>
        <v>0</v>
      </c>
      <c r="V7" s="700" t="s">
        <v>14</v>
      </c>
      <c r="W7" s="701">
        <f t="shared" ref="W7:W14" si="2">J7</f>
        <v>0</v>
      </c>
      <c r="X7" s="702"/>
      <c r="Y7" s="3709" t="s">
        <v>1680</v>
      </c>
      <c r="Z7" s="371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1683</v>
      </c>
      <c r="Q8" s="3710"/>
      <c r="R8" s="700" t="s">
        <v>14</v>
      </c>
      <c r="S8" s="701">
        <f t="shared" si="0"/>
        <v>100</v>
      </c>
      <c r="T8" s="700" t="s">
        <v>14</v>
      </c>
      <c r="U8" s="701">
        <f t="shared" si="1"/>
        <v>100</v>
      </c>
      <c r="V8" s="700" t="s">
        <v>14</v>
      </c>
      <c r="W8" s="701">
        <f t="shared" si="2"/>
        <v>100</v>
      </c>
      <c r="X8" s="702"/>
      <c r="Y8" s="3709" t="s">
        <v>1683</v>
      </c>
      <c r="Z8" s="371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0"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670"/>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0"/>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0"/>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0"/>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7" t="s">
        <v>1691</v>
      </c>
      <c r="Q14" s="1351" t="str">
        <f t="shared" si="6"/>
        <v>交通便捷度</v>
      </c>
      <c r="R14" s="704" t="s">
        <v>14</v>
      </c>
      <c r="S14" s="705">
        <f t="shared" si="0"/>
        <v>100</v>
      </c>
      <c r="T14" s="704" t="s">
        <v>14</v>
      </c>
      <c r="U14" s="705">
        <f t="shared" si="1"/>
        <v>100</v>
      </c>
      <c r="V14" s="704" t="s">
        <v>14</v>
      </c>
      <c r="W14" s="705">
        <f t="shared" si="2"/>
        <v>100</v>
      </c>
      <c r="X14" s="1354"/>
      <c r="Y14" s="367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8"/>
      <c r="Q15" s="1351"/>
      <c r="R15" s="704"/>
      <c r="S15" s="705"/>
      <c r="T15" s="704"/>
      <c r="U15" s="705"/>
      <c r="V15" s="704"/>
      <c r="W15" s="705"/>
      <c r="X15" s="1354"/>
      <c r="Y15" s="367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8"/>
      <c r="Q16" s="1351" t="str">
        <f>B16</f>
        <v>公共配套设施</v>
      </c>
      <c r="R16" s="704" t="s">
        <v>14</v>
      </c>
      <c r="S16" s="705">
        <f>F16</f>
        <v>100</v>
      </c>
      <c r="T16" s="704" t="s">
        <v>14</v>
      </c>
      <c r="U16" s="705">
        <f>H16</f>
        <v>100</v>
      </c>
      <c r="V16" s="704" t="s">
        <v>14</v>
      </c>
      <c r="W16" s="705">
        <f>J16</f>
        <v>100</v>
      </c>
      <c r="X16" s="1354"/>
      <c r="Y16" s="367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8"/>
      <c r="Q17" s="1351"/>
      <c r="R17" s="704"/>
      <c r="S17" s="705"/>
      <c r="T17" s="704"/>
      <c r="U17" s="705"/>
      <c r="V17" s="704"/>
      <c r="W17" s="705"/>
      <c r="X17" s="1354"/>
      <c r="Y17" s="367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8"/>
      <c r="Q18" s="1351" t="str">
        <f>B18</f>
        <v>基础设施水平</v>
      </c>
      <c r="R18" s="704" t="s">
        <v>14</v>
      </c>
      <c r="S18" s="705">
        <f>F18</f>
        <v>100</v>
      </c>
      <c r="T18" s="704" t="s">
        <v>14</v>
      </c>
      <c r="U18" s="705">
        <f>H18</f>
        <v>100</v>
      </c>
      <c r="V18" s="704" t="s">
        <v>14</v>
      </c>
      <c r="W18" s="705">
        <f>J18</f>
        <v>100</v>
      </c>
      <c r="X18" s="1354"/>
      <c r="Y18" s="367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8"/>
      <c r="Q19" s="1351"/>
      <c r="R19" s="704"/>
      <c r="S19" s="705"/>
      <c r="T19" s="704"/>
      <c r="U19" s="705"/>
      <c r="V19" s="704"/>
      <c r="W19" s="705"/>
      <c r="X19" s="1354"/>
      <c r="Y19" s="367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8"/>
      <c r="Q20" s="1351" t="str">
        <f>B20</f>
        <v>自然及人文环境</v>
      </c>
      <c r="R20" s="704" t="s">
        <v>14</v>
      </c>
      <c r="S20" s="705">
        <f>F20</f>
        <v>100</v>
      </c>
      <c r="T20" s="704" t="s">
        <v>14</v>
      </c>
      <c r="U20" s="705">
        <f>H20</f>
        <v>100</v>
      </c>
      <c r="V20" s="704" t="s">
        <v>14</v>
      </c>
      <c r="W20" s="705">
        <f>J20</f>
        <v>100</v>
      </c>
      <c r="X20" s="1354"/>
      <c r="Y20" s="367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8"/>
      <c r="Q21" s="1351"/>
      <c r="R21" s="704"/>
      <c r="S21" s="705"/>
      <c r="T21" s="704"/>
      <c r="U21" s="705"/>
      <c r="V21" s="704"/>
      <c r="W21" s="705"/>
      <c r="X21" s="1354"/>
      <c r="Y21" s="367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8"/>
      <c r="Q22" s="1351" t="str">
        <f>B22</f>
        <v>楼层</v>
      </c>
      <c r="R22" s="704" t="s">
        <v>14</v>
      </c>
      <c r="S22" s="705">
        <f>F22</f>
        <v>100</v>
      </c>
      <c r="T22" s="704" t="s">
        <v>14</v>
      </c>
      <c r="U22" s="705">
        <f>H22</f>
        <v>100</v>
      </c>
      <c r="V22" s="704" t="s">
        <v>14</v>
      </c>
      <c r="W22" s="705">
        <f>J22</f>
        <v>100</v>
      </c>
      <c r="X22" s="1354"/>
      <c r="Y22" s="367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8"/>
      <c r="Q23" s="1351">
        <f>B23</f>
        <v>111</v>
      </c>
      <c r="R23" s="704" t="s">
        <v>14</v>
      </c>
      <c r="S23" s="705">
        <f>F23</f>
        <v>100</v>
      </c>
      <c r="T23" s="704" t="s">
        <v>14</v>
      </c>
      <c r="U23" s="705">
        <f>H23</f>
        <v>100</v>
      </c>
      <c r="V23" s="704" t="s">
        <v>14</v>
      </c>
      <c r="W23" s="705">
        <f>J23</f>
        <v>100</v>
      </c>
      <c r="X23" s="1354"/>
      <c r="Y23" s="367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8"/>
      <c r="Q24" s="1351">
        <f t="shared" ref="Q24:Q34" si="11">B24</f>
        <v>111</v>
      </c>
      <c r="R24" s="704" t="s">
        <v>14</v>
      </c>
      <c r="S24" s="705">
        <f>F24</f>
        <v>100</v>
      </c>
      <c r="T24" s="704" t="s">
        <v>14</v>
      </c>
      <c r="U24" s="705">
        <f>H24</f>
        <v>100</v>
      </c>
      <c r="V24" s="704" t="s">
        <v>14</v>
      </c>
      <c r="W24" s="705">
        <f>J24</f>
        <v>100</v>
      </c>
      <c r="X24" s="1354"/>
      <c r="Y24" s="367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8"/>
      <c r="Q25" s="1342">
        <f t="shared" si="11"/>
        <v>111</v>
      </c>
      <c r="R25" s="700" t="s">
        <v>14</v>
      </c>
      <c r="S25" s="701">
        <f>F25</f>
        <v>100</v>
      </c>
      <c r="T25" s="700" t="s">
        <v>14</v>
      </c>
      <c r="U25" s="701">
        <f>H25</f>
        <v>100</v>
      </c>
      <c r="V25" s="700" t="s">
        <v>14</v>
      </c>
      <c r="W25" s="701">
        <f>J25</f>
        <v>100</v>
      </c>
      <c r="X25" s="702"/>
      <c r="Y25" s="367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2"/>
      <c r="Q27" s="706" t="str">
        <f t="shared" si="11"/>
        <v>成新率</v>
      </c>
      <c r="R27" s="707" t="s">
        <v>14</v>
      </c>
      <c r="S27" s="708" t="e">
        <f t="shared" si="12"/>
        <v>#N/A</v>
      </c>
      <c r="T27" s="707" t="s">
        <v>14</v>
      </c>
      <c r="U27" s="708" t="e">
        <f t="shared" si="13"/>
        <v>#N/A</v>
      </c>
      <c r="V27" s="707" t="s">
        <v>14</v>
      </c>
      <c r="W27" s="708" t="e">
        <f t="shared" si="14"/>
        <v>#N/A</v>
      </c>
      <c r="X27" s="709"/>
      <c r="Y27" s="368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2"/>
      <c r="Q28" s="1351" t="str">
        <f t="shared" si="11"/>
        <v>物业等级</v>
      </c>
      <c r="R28" s="704" t="s">
        <v>14</v>
      </c>
      <c r="S28" s="705">
        <f t="shared" si="12"/>
        <v>100</v>
      </c>
      <c r="T28" s="704" t="s">
        <v>14</v>
      </c>
      <c r="U28" s="705">
        <f t="shared" si="13"/>
        <v>100</v>
      </c>
      <c r="V28" s="704" t="s">
        <v>14</v>
      </c>
      <c r="W28" s="705">
        <f t="shared" si="14"/>
        <v>100</v>
      </c>
      <c r="X28" s="1354"/>
      <c r="Y28" s="368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2"/>
      <c r="Q29" s="1351" t="str">
        <f t="shared" si="11"/>
        <v>有无电梯</v>
      </c>
      <c r="R29" s="704" t="s">
        <v>14</v>
      </c>
      <c r="S29" s="705">
        <f t="shared" si="12"/>
        <v>100</v>
      </c>
      <c r="T29" s="704" t="s">
        <v>14</v>
      </c>
      <c r="U29" s="705">
        <f t="shared" si="13"/>
        <v>100</v>
      </c>
      <c r="V29" s="704" t="s">
        <v>14</v>
      </c>
      <c r="W29" s="705">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2"/>
      <c r="Q30" s="1351" t="str">
        <f t="shared" si="11"/>
        <v>建筑面积</v>
      </c>
      <c r="R30" s="704" t="s">
        <v>14</v>
      </c>
      <c r="S30" s="705" t="e">
        <f t="shared" si="12"/>
        <v>#N/A</v>
      </c>
      <c r="T30" s="704" t="s">
        <v>14</v>
      </c>
      <c r="U30" s="705" t="e">
        <f t="shared" si="13"/>
        <v>#N/A</v>
      </c>
      <c r="V30" s="704" t="s">
        <v>14</v>
      </c>
      <c r="W30" s="705"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2"/>
      <c r="Q31" s="1342" t="str">
        <f t="shared" si="11"/>
        <v>是否封闭</v>
      </c>
      <c r="R31" s="700" t="s">
        <v>14</v>
      </c>
      <c r="S31" s="701">
        <f t="shared" si="12"/>
        <v>100</v>
      </c>
      <c r="T31" s="700" t="s">
        <v>14</v>
      </c>
      <c r="U31" s="701">
        <f t="shared" si="13"/>
        <v>100</v>
      </c>
      <c r="V31" s="700" t="s">
        <v>14</v>
      </c>
      <c r="W31" s="701">
        <f t="shared" si="14"/>
        <v>100</v>
      </c>
      <c r="X31" s="702"/>
      <c r="Y31" s="368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2" t="s">
        <v>1696</v>
      </c>
      <c r="Q32" s="1351">
        <f t="shared" si="11"/>
        <v>111</v>
      </c>
      <c r="R32" s="704" t="s">
        <v>14</v>
      </c>
      <c r="S32" s="705">
        <f t="shared" si="12"/>
        <v>100</v>
      </c>
      <c r="T32" s="704" t="s">
        <v>14</v>
      </c>
      <c r="U32" s="705">
        <f t="shared" si="13"/>
        <v>100</v>
      </c>
      <c r="V32" s="704" t="s">
        <v>14</v>
      </c>
      <c r="W32" s="705">
        <f t="shared" si="14"/>
        <v>100</v>
      </c>
      <c r="X32" s="1354"/>
      <c r="Y32" s="368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2"/>
      <c r="Q33" s="1351">
        <f t="shared" si="11"/>
        <v>111</v>
      </c>
      <c r="R33" s="704" t="s">
        <v>14</v>
      </c>
      <c r="S33" s="705">
        <f t="shared" si="12"/>
        <v>100</v>
      </c>
      <c r="T33" s="704" t="s">
        <v>14</v>
      </c>
      <c r="U33" s="705">
        <f t="shared" si="13"/>
        <v>100</v>
      </c>
      <c r="V33" s="704" t="s">
        <v>14</v>
      </c>
      <c r="W33" s="705">
        <f t="shared" si="14"/>
        <v>100</v>
      </c>
      <c r="X33" s="1354"/>
      <c r="Y33" s="368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2"/>
      <c r="Q34" s="1351">
        <f t="shared" si="11"/>
        <v>111</v>
      </c>
      <c r="R34" s="704" t="s">
        <v>14</v>
      </c>
      <c r="S34" s="705">
        <f t="shared" si="12"/>
        <v>100</v>
      </c>
      <c r="T34" s="704" t="s">
        <v>14</v>
      </c>
      <c r="U34" s="705">
        <f t="shared" si="13"/>
        <v>100</v>
      </c>
      <c r="V34" s="704" t="s">
        <v>14</v>
      </c>
      <c r="W34" s="705">
        <f t="shared" si="14"/>
        <v>100</v>
      </c>
      <c r="X34" s="1354"/>
      <c r="Y34" s="368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0" t="str">
        <f>A35</f>
        <v>成交单价（元/平方米）</v>
      </c>
      <c r="Q35" s="3670"/>
      <c r="R35" s="3671">
        <f>E35</f>
        <v>0</v>
      </c>
      <c r="S35" s="3671"/>
      <c r="T35" s="3671">
        <f>G35</f>
        <v>0</v>
      </c>
      <c r="U35" s="3671"/>
      <c r="V35" s="3671">
        <f>I35</f>
        <v>0</v>
      </c>
      <c r="W35" s="3671"/>
      <c r="X35" s="689"/>
      <c r="Y35" s="711"/>
      <c r="Z35" s="689"/>
      <c r="AA35" s="689"/>
      <c r="AB35" s="689"/>
      <c r="AC35" s="689"/>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2" t="str">
        <f>A37</f>
        <v>估价对象XX用房的比较价值（楼面单价，元/平方米）</v>
      </c>
      <c r="Q37" s="3673"/>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684" t="s">
        <v>1773</v>
      </c>
      <c r="W4" s="3684"/>
      <c r="X4" s="1354"/>
      <c r="Y4" s="3699" t="s">
        <v>1775</v>
      </c>
      <c r="Z4" s="3700"/>
      <c r="AA4" s="3686" t="s">
        <v>1771</v>
      </c>
      <c r="AB4" s="3687" t="s">
        <v>1772</v>
      </c>
      <c r="AC4" s="3686" t="s">
        <v>1773</v>
      </c>
    </row>
    <row r="5" spans="1:30" ht="15">
      <c r="A5" s="358"/>
      <c r="B5" s="359"/>
      <c r="C5" s="3707" t="s">
        <v>1673</v>
      </c>
      <c r="D5" s="3708"/>
      <c r="E5" s="3714" t="s">
        <v>1674</v>
      </c>
      <c r="F5" s="3715"/>
      <c r="G5" s="3707" t="s">
        <v>1675</v>
      </c>
      <c r="H5" s="3708"/>
      <c r="I5" s="3707" t="s">
        <v>1676</v>
      </c>
      <c r="J5" s="3708"/>
      <c r="K5" s="559"/>
      <c r="L5" s="2714"/>
      <c r="M5" s="2715"/>
      <c r="N5" s="2715"/>
      <c r="O5" s="2715"/>
      <c r="P5" s="3695"/>
      <c r="Q5" s="3696"/>
      <c r="R5" s="3701"/>
      <c r="S5" s="3702"/>
      <c r="T5" s="3701"/>
      <c r="U5" s="3702"/>
      <c r="V5" s="3684"/>
      <c r="W5" s="3684"/>
      <c r="X5" s="1354"/>
      <c r="Y5" s="3701"/>
      <c r="Z5" s="3702"/>
      <c r="AA5" s="3687"/>
      <c r="AB5" s="3687"/>
      <c r="AC5" s="3687"/>
    </row>
    <row r="6" spans="1:30" ht="15.75" thickBot="1">
      <c r="A6" s="360"/>
      <c r="B6" s="361"/>
      <c r="C6" s="3705" t="s">
        <v>1677</v>
      </c>
      <c r="D6" s="3706"/>
      <c r="E6" s="3712" t="s">
        <v>1677</v>
      </c>
      <c r="F6" s="3713"/>
      <c r="G6" s="3705" t="s">
        <v>1677</v>
      </c>
      <c r="H6" s="3706"/>
      <c r="I6" s="3705" t="s">
        <v>1677</v>
      </c>
      <c r="J6" s="3706"/>
      <c r="K6" s="559" t="s">
        <v>1678</v>
      </c>
      <c r="L6" s="2714"/>
      <c r="M6" s="2715"/>
      <c r="N6" s="2715"/>
      <c r="O6" s="2715"/>
      <c r="P6" s="3697"/>
      <c r="Q6" s="3698"/>
      <c r="R6" s="3701"/>
      <c r="S6" s="3702"/>
      <c r="T6" s="3703"/>
      <c r="U6" s="3704"/>
      <c r="V6" s="3684"/>
      <c r="W6" s="3684"/>
      <c r="X6" s="1354"/>
      <c r="Y6" s="3703"/>
      <c r="Z6" s="3704"/>
      <c r="AA6" s="3688"/>
      <c r="AB6" s="3688"/>
      <c r="AC6" s="3688"/>
    </row>
    <row r="7" spans="1:30" s="108" customFormat="1" ht="15.75" thickBot="1">
      <c r="A7" s="362" t="s">
        <v>1679</v>
      </c>
      <c r="B7" s="363"/>
      <c r="C7" s="364">
        <f>'数据-取费表'!B2</f>
        <v>45432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1683</v>
      </c>
      <c r="Q8" s="3710"/>
      <c r="R8" s="700" t="s">
        <v>14</v>
      </c>
      <c r="S8" s="701">
        <f t="shared" si="0"/>
        <v>0</v>
      </c>
      <c r="T8" s="700" t="s">
        <v>14</v>
      </c>
      <c r="U8" s="701">
        <f t="shared" si="1"/>
        <v>0</v>
      </c>
      <c r="V8" s="700" t="s">
        <v>14</v>
      </c>
      <c r="W8" s="701">
        <f t="shared" si="2"/>
        <v>0</v>
      </c>
      <c r="X8" s="702"/>
      <c r="Y8" s="3709" t="s">
        <v>1683</v>
      </c>
      <c r="Z8" s="371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0"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172</v>
      </c>
      <c r="G10" s="414"/>
      <c r="H10" s="127">
        <f>ROUND(100/'数据-取费表'!G16,0)</f>
        <v>172</v>
      </c>
      <c r="I10" s="414"/>
      <c r="J10" s="127">
        <f>ROUND(100/'数据-取费表'!G16,0)</f>
        <v>172</v>
      </c>
      <c r="K10" s="619"/>
      <c r="L10" s="2718"/>
      <c r="M10" s="2719"/>
      <c r="N10" s="2719"/>
      <c r="O10" s="2772"/>
      <c r="P10" s="3670"/>
      <c r="Q10" s="1342" t="str">
        <f t="shared" si="6"/>
        <v>土地使用年限（年）</v>
      </c>
      <c r="R10" s="700" t="s">
        <v>14</v>
      </c>
      <c r="S10" s="701">
        <f t="shared" si="0"/>
        <v>172</v>
      </c>
      <c r="T10" s="700" t="s">
        <v>14</v>
      </c>
      <c r="U10" s="701">
        <f t="shared" si="1"/>
        <v>172</v>
      </c>
      <c r="V10" s="700" t="s">
        <v>14</v>
      </c>
      <c r="W10" s="701">
        <f t="shared" si="2"/>
        <v>172</v>
      </c>
      <c r="X10" s="702"/>
      <c r="Y10" s="3562"/>
      <c r="Z10" s="52" t="str">
        <f t="shared" si="7"/>
        <v>土地使用年限（年）</v>
      </c>
      <c r="AA10" s="703">
        <f t="shared" si="3"/>
        <v>0.58139534883720934</v>
      </c>
      <c r="AB10" s="703">
        <f t="shared" si="4"/>
        <v>0.58139534883720934</v>
      </c>
      <c r="AC10" s="703">
        <f t="shared" si="5"/>
        <v>0.58139534883720934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70"/>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70"/>
      <c r="Q12" s="1342" t="str">
        <f t="shared" si="6"/>
        <v>配建</v>
      </c>
      <c r="R12" s="700" t="s">
        <v>14</v>
      </c>
      <c r="S12" s="701">
        <f t="shared" si="0"/>
        <v>100</v>
      </c>
      <c r="T12" s="700" t="s">
        <v>14</v>
      </c>
      <c r="U12" s="701">
        <f t="shared" si="1"/>
        <v>100</v>
      </c>
      <c r="V12" s="700" t="s">
        <v>14</v>
      </c>
      <c r="W12" s="701">
        <f t="shared" si="2"/>
        <v>100</v>
      </c>
      <c r="X12" s="702"/>
      <c r="Y12" s="356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70"/>
      <c r="Q13" s="1342">
        <f t="shared" si="6"/>
        <v>111</v>
      </c>
      <c r="R13" s="700" t="s">
        <v>14</v>
      </c>
      <c r="S13" s="701">
        <f t="shared" si="0"/>
        <v>100</v>
      </c>
      <c r="T13" s="700" t="s">
        <v>14</v>
      </c>
      <c r="U13" s="701">
        <f t="shared" si="1"/>
        <v>100</v>
      </c>
      <c r="V13" s="700" t="s">
        <v>14</v>
      </c>
      <c r="W13" s="701">
        <f t="shared" si="2"/>
        <v>100</v>
      </c>
      <c r="X13" s="702"/>
      <c r="Y13" s="356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70"/>
      <c r="Q14" s="1342">
        <f t="shared" si="6"/>
        <v>111</v>
      </c>
      <c r="R14" s="700" t="s">
        <v>14</v>
      </c>
      <c r="S14" s="701">
        <f t="shared" si="0"/>
        <v>100</v>
      </c>
      <c r="T14" s="700" t="s">
        <v>14</v>
      </c>
      <c r="U14" s="701">
        <f t="shared" si="1"/>
        <v>100</v>
      </c>
      <c r="V14" s="700" t="s">
        <v>14</v>
      </c>
      <c r="W14" s="701">
        <f t="shared" si="2"/>
        <v>100</v>
      </c>
      <c r="X14" s="702"/>
      <c r="Y14" s="356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7" t="s">
        <v>1691</v>
      </c>
      <c r="Q15" s="1351" t="str">
        <f t="shared" si="6"/>
        <v>居住社区成熟度</v>
      </c>
      <c r="R15" s="704" t="s">
        <v>14</v>
      </c>
      <c r="S15" s="705">
        <f t="shared" si="0"/>
        <v>100</v>
      </c>
      <c r="T15" s="704" t="s">
        <v>14</v>
      </c>
      <c r="U15" s="705">
        <f t="shared" si="1"/>
        <v>100</v>
      </c>
      <c r="V15" s="704" t="s">
        <v>14</v>
      </c>
      <c r="W15" s="705">
        <f t="shared" si="2"/>
        <v>100</v>
      </c>
      <c r="X15" s="1354"/>
      <c r="Y15" s="367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8"/>
      <c r="Q17" s="1351" t="str">
        <f>B17</f>
        <v>商业繁华度</v>
      </c>
      <c r="R17" s="704" t="s">
        <v>14</v>
      </c>
      <c r="S17" s="705">
        <f>F17</f>
        <v>100</v>
      </c>
      <c r="T17" s="704" t="s">
        <v>14</v>
      </c>
      <c r="U17" s="705">
        <f>H17</f>
        <v>100</v>
      </c>
      <c r="V17" s="704" t="s">
        <v>14</v>
      </c>
      <c r="W17" s="705">
        <f>J17</f>
        <v>100</v>
      </c>
      <c r="X17" s="1354"/>
      <c r="Y17" s="367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8"/>
      <c r="Q19" s="1351" t="str">
        <f>B19</f>
        <v>办公集聚程度</v>
      </c>
      <c r="R19" s="704" t="s">
        <v>14</v>
      </c>
      <c r="S19" s="705">
        <f>F19</f>
        <v>100</v>
      </c>
      <c r="T19" s="704" t="s">
        <v>14</v>
      </c>
      <c r="U19" s="705">
        <f>H19</f>
        <v>100</v>
      </c>
      <c r="V19" s="704" t="s">
        <v>14</v>
      </c>
      <c r="W19" s="705">
        <f>J19</f>
        <v>100</v>
      </c>
      <c r="X19" s="1354"/>
      <c r="Y19" s="367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8"/>
      <c r="Q20" s="1351"/>
      <c r="R20" s="704"/>
      <c r="S20" s="705"/>
      <c r="T20" s="704"/>
      <c r="U20" s="705"/>
      <c r="V20" s="704"/>
      <c r="W20" s="705"/>
      <c r="X20" s="1354"/>
      <c r="Y20" s="367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8"/>
      <c r="Q21" s="1351" t="str">
        <f>B21</f>
        <v>交通便捷度</v>
      </c>
      <c r="R21" s="704" t="s">
        <v>14</v>
      </c>
      <c r="S21" s="705">
        <f>F21</f>
        <v>100</v>
      </c>
      <c r="T21" s="704" t="s">
        <v>14</v>
      </c>
      <c r="U21" s="705">
        <f>H21</f>
        <v>100</v>
      </c>
      <c r="V21" s="704" t="s">
        <v>14</v>
      </c>
      <c r="W21" s="705">
        <f>J21</f>
        <v>100</v>
      </c>
      <c r="X21" s="1354"/>
      <c r="Y21" s="367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8"/>
      <c r="Q23" s="1351" t="str">
        <f t="shared" ref="Q23:Q37" si="8">B23</f>
        <v>区域土地利用方向</v>
      </c>
      <c r="R23" s="704" t="s">
        <v>14</v>
      </c>
      <c r="S23" s="705">
        <f>F23</f>
        <v>100</v>
      </c>
      <c r="T23" s="704" t="s">
        <v>14</v>
      </c>
      <c r="U23" s="705">
        <f>H23</f>
        <v>100</v>
      </c>
      <c r="V23" s="704" t="s">
        <v>14</v>
      </c>
      <c r="W23" s="705">
        <f>J23</f>
        <v>100</v>
      </c>
      <c r="X23" s="1354"/>
      <c r="Y23" s="367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8"/>
      <c r="Q24" s="1351"/>
      <c r="R24" s="704"/>
      <c r="S24" s="705"/>
      <c r="T24" s="704"/>
      <c r="U24" s="705"/>
      <c r="V24" s="704"/>
      <c r="W24" s="705"/>
      <c r="X24" s="1354"/>
      <c r="Y24" s="367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8"/>
      <c r="Q25" s="1351" t="str">
        <f t="shared" si="8"/>
        <v>自然及人文环境状况</v>
      </c>
      <c r="R25" s="704" t="s">
        <v>14</v>
      </c>
      <c r="S25" s="705">
        <f>F25</f>
        <v>100</v>
      </c>
      <c r="T25" s="704" t="s">
        <v>14</v>
      </c>
      <c r="U25" s="705">
        <f>H25</f>
        <v>100</v>
      </c>
      <c r="V25" s="704" t="s">
        <v>14</v>
      </c>
      <c r="W25" s="705">
        <f>J25</f>
        <v>100</v>
      </c>
      <c r="X25" s="1354"/>
      <c r="Y25" s="367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8"/>
      <c r="Q26" s="1351"/>
      <c r="R26" s="704"/>
      <c r="S26" s="705"/>
      <c r="T26" s="704"/>
      <c r="U26" s="705"/>
      <c r="V26" s="704"/>
      <c r="W26" s="705"/>
      <c r="X26" s="1354"/>
      <c r="Y26" s="3678"/>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8"/>
      <c r="Q27" s="1342" t="str">
        <f t="shared" si="8"/>
        <v>公共配套设施</v>
      </c>
      <c r="R27" s="700" t="s">
        <v>14</v>
      </c>
      <c r="S27" s="701">
        <f>F27</f>
        <v>100</v>
      </c>
      <c r="T27" s="700" t="s">
        <v>14</v>
      </c>
      <c r="U27" s="701">
        <f>H27</f>
        <v>100</v>
      </c>
      <c r="V27" s="700" t="s">
        <v>14</v>
      </c>
      <c r="W27" s="701">
        <f>J27</f>
        <v>100</v>
      </c>
      <c r="X27" s="702"/>
      <c r="Y27" s="367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8"/>
      <c r="Q28" s="1342"/>
      <c r="R28" s="700"/>
      <c r="S28" s="701"/>
      <c r="T28" s="700"/>
      <c r="U28" s="701"/>
      <c r="V28" s="700"/>
      <c r="W28" s="701"/>
      <c r="X28" s="702"/>
      <c r="Y28" s="3678"/>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8"/>
      <c r="Q29" s="1342" t="str">
        <f t="shared" ref="Q29" si="9">B29</f>
        <v>基础设施水平</v>
      </c>
      <c r="R29" s="700" t="s">
        <v>14</v>
      </c>
      <c r="S29" s="701">
        <f>F29</f>
        <v>100</v>
      </c>
      <c r="T29" s="700" t="s">
        <v>14</v>
      </c>
      <c r="U29" s="701">
        <f>H29</f>
        <v>100</v>
      </c>
      <c r="V29" s="700" t="s">
        <v>14</v>
      </c>
      <c r="W29" s="701">
        <f>J29</f>
        <v>100</v>
      </c>
      <c r="X29" s="702"/>
      <c r="Y29" s="367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8"/>
      <c r="Q30" s="1342"/>
      <c r="R30" s="700"/>
      <c r="S30" s="701"/>
      <c r="T30" s="700"/>
      <c r="U30" s="701"/>
      <c r="V30" s="700"/>
      <c r="W30" s="701"/>
      <c r="X30" s="702"/>
      <c r="Y30" s="367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8"/>
      <c r="Q32" s="1351" t="str">
        <f t="shared" si="8"/>
        <v>毗邻道路的类型与等级</v>
      </c>
      <c r="R32" s="704" t="s">
        <v>14</v>
      </c>
      <c r="S32" s="705">
        <f t="shared" si="10"/>
        <v>100</v>
      </c>
      <c r="T32" s="704" t="s">
        <v>14</v>
      </c>
      <c r="U32" s="705">
        <f t="shared" si="11"/>
        <v>100</v>
      </c>
      <c r="V32" s="704" t="s">
        <v>14</v>
      </c>
      <c r="W32" s="705">
        <f t="shared" si="12"/>
        <v>100</v>
      </c>
      <c r="X32" s="1354"/>
      <c r="Y32" s="367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8"/>
      <c r="Q33" s="1351"/>
      <c r="R33" s="704"/>
      <c r="S33" s="705"/>
      <c r="T33" s="704"/>
      <c r="U33" s="705"/>
      <c r="V33" s="704"/>
      <c r="W33" s="705"/>
      <c r="X33" s="1354"/>
      <c r="Y33" s="367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8"/>
      <c r="Q34" s="1351" t="str">
        <f t="shared" si="8"/>
        <v>土地级别</v>
      </c>
      <c r="R34" s="704" t="s">
        <v>14</v>
      </c>
      <c r="S34" s="705">
        <f t="shared" si="10"/>
        <v>100</v>
      </c>
      <c r="T34" s="704" t="s">
        <v>14</v>
      </c>
      <c r="U34" s="705">
        <f t="shared" si="11"/>
        <v>100</v>
      </c>
      <c r="V34" s="704" t="s">
        <v>14</v>
      </c>
      <c r="W34" s="705">
        <f t="shared" si="12"/>
        <v>100</v>
      </c>
      <c r="X34" s="1354"/>
      <c r="Y34" s="367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8"/>
      <c r="Q35" s="1351">
        <f t="shared" si="8"/>
        <v>111</v>
      </c>
      <c r="R35" s="704" t="s">
        <v>14</v>
      </c>
      <c r="S35" s="705">
        <f t="shared" si="10"/>
        <v>100</v>
      </c>
      <c r="T35" s="704" t="s">
        <v>14</v>
      </c>
      <c r="U35" s="705">
        <f t="shared" si="11"/>
        <v>100</v>
      </c>
      <c r="V35" s="704" t="s">
        <v>14</v>
      </c>
      <c r="W35" s="705">
        <f t="shared" si="12"/>
        <v>100</v>
      </c>
      <c r="X35" s="1354"/>
      <c r="Y35" s="367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2" t="s">
        <v>1696</v>
      </c>
      <c r="Q36" s="1351">
        <f t="shared" si="8"/>
        <v>111</v>
      </c>
      <c r="R36" s="704" t="s">
        <v>14</v>
      </c>
      <c r="S36" s="705">
        <f t="shared" si="10"/>
        <v>100</v>
      </c>
      <c r="T36" s="704" t="s">
        <v>14</v>
      </c>
      <c r="U36" s="705">
        <f t="shared" si="11"/>
        <v>100</v>
      </c>
      <c r="V36" s="704" t="s">
        <v>14</v>
      </c>
      <c r="W36" s="705">
        <f t="shared" si="12"/>
        <v>100</v>
      </c>
      <c r="X36" s="1354"/>
      <c r="Y36" s="368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2"/>
      <c r="Q37" s="1351">
        <f t="shared" si="8"/>
        <v>111</v>
      </c>
      <c r="R37" s="707" t="s">
        <v>14</v>
      </c>
      <c r="S37" s="708">
        <f t="shared" si="10"/>
        <v>100</v>
      </c>
      <c r="T37" s="707" t="s">
        <v>14</v>
      </c>
      <c r="U37" s="708">
        <f t="shared" si="11"/>
        <v>100</v>
      </c>
      <c r="V37" s="707" t="s">
        <v>14</v>
      </c>
      <c r="W37" s="708">
        <f t="shared" si="12"/>
        <v>100</v>
      </c>
      <c r="X37" s="709"/>
      <c r="Y37" s="368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2"/>
      <c r="Q38" s="1351" t="str">
        <f>B38</f>
        <v>宗地面积</v>
      </c>
      <c r="R38" s="704" t="s">
        <v>14</v>
      </c>
      <c r="S38" s="705" t="e">
        <f t="shared" si="10"/>
        <v>#N/A</v>
      </c>
      <c r="T38" s="704" t="s">
        <v>14</v>
      </c>
      <c r="U38" s="705" t="e">
        <f t="shared" si="11"/>
        <v>#N/A</v>
      </c>
      <c r="V38" s="704" t="s">
        <v>14</v>
      </c>
      <c r="W38" s="705" t="e">
        <f t="shared" si="12"/>
        <v>#N/A</v>
      </c>
      <c r="X38" s="1354"/>
      <c r="Y38" s="368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2"/>
      <c r="Q39" s="1351" t="str">
        <f t="shared" ref="Q39:Q45" si="14">B39</f>
        <v>宗地形状</v>
      </c>
      <c r="R39" s="704" t="s">
        <v>14</v>
      </c>
      <c r="S39" s="705">
        <f t="shared" si="10"/>
        <v>100</v>
      </c>
      <c r="T39" s="704" t="s">
        <v>14</v>
      </c>
      <c r="U39" s="705">
        <f t="shared" si="11"/>
        <v>100</v>
      </c>
      <c r="V39" s="704" t="s">
        <v>14</v>
      </c>
      <c r="W39" s="705">
        <f t="shared" si="12"/>
        <v>100</v>
      </c>
      <c r="X39" s="1354"/>
      <c r="Y39" s="368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2"/>
      <c r="Q40" s="1351" t="str">
        <f t="shared" si="14"/>
        <v>临街宽度及深度</v>
      </c>
      <c r="R40" s="704" t="s">
        <v>14</v>
      </c>
      <c r="S40" s="705">
        <f t="shared" si="10"/>
        <v>100</v>
      </c>
      <c r="T40" s="704" t="s">
        <v>14</v>
      </c>
      <c r="U40" s="705">
        <f t="shared" si="11"/>
        <v>100</v>
      </c>
      <c r="V40" s="704" t="s">
        <v>14</v>
      </c>
      <c r="W40" s="705">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2"/>
      <c r="Q41" s="1351" t="str">
        <f t="shared" si="14"/>
        <v>宗地开发程度</v>
      </c>
      <c r="R41" s="700" t="s">
        <v>14</v>
      </c>
      <c r="S41" s="701">
        <f t="shared" si="10"/>
        <v>100</v>
      </c>
      <c r="T41" s="700" t="s">
        <v>14</v>
      </c>
      <c r="U41" s="701">
        <f t="shared" si="11"/>
        <v>100</v>
      </c>
      <c r="V41" s="700" t="s">
        <v>14</v>
      </c>
      <c r="W41" s="701">
        <f t="shared" si="12"/>
        <v>100</v>
      </c>
      <c r="X41" s="702"/>
      <c r="Y41" s="368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2" t="s">
        <v>1696</v>
      </c>
      <c r="Q42" s="1351" t="str">
        <f t="shared" si="14"/>
        <v>工程地质条件</v>
      </c>
      <c r="R42" s="704" t="s">
        <v>14</v>
      </c>
      <c r="S42" s="705">
        <f t="shared" si="10"/>
        <v>100</v>
      </c>
      <c r="T42" s="704" t="s">
        <v>14</v>
      </c>
      <c r="U42" s="705">
        <f t="shared" si="11"/>
        <v>100</v>
      </c>
      <c r="V42" s="704" t="s">
        <v>14</v>
      </c>
      <c r="W42" s="705">
        <f t="shared" si="12"/>
        <v>100</v>
      </c>
      <c r="X42" s="1354"/>
      <c r="Y42" s="368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2"/>
      <c r="Q43" s="1351">
        <f t="shared" si="14"/>
        <v>111</v>
      </c>
      <c r="R43" s="704" t="s">
        <v>14</v>
      </c>
      <c r="S43" s="705">
        <f t="shared" si="10"/>
        <v>100</v>
      </c>
      <c r="T43" s="704" t="s">
        <v>14</v>
      </c>
      <c r="U43" s="705">
        <f t="shared" si="11"/>
        <v>100</v>
      </c>
      <c r="V43" s="704" t="s">
        <v>14</v>
      </c>
      <c r="W43" s="705">
        <f t="shared" si="12"/>
        <v>100</v>
      </c>
      <c r="X43" s="1354"/>
      <c r="Y43" s="368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2"/>
      <c r="Q44" s="1351">
        <f t="shared" si="14"/>
        <v>111</v>
      </c>
      <c r="R44" s="704" t="s">
        <v>14</v>
      </c>
      <c r="S44" s="705">
        <f t="shared" si="10"/>
        <v>100</v>
      </c>
      <c r="T44" s="704" t="s">
        <v>14</v>
      </c>
      <c r="U44" s="705">
        <f t="shared" si="11"/>
        <v>100</v>
      </c>
      <c r="V44" s="704" t="s">
        <v>14</v>
      </c>
      <c r="W44" s="705">
        <f t="shared" si="12"/>
        <v>100</v>
      </c>
      <c r="X44" s="1354"/>
      <c r="Y44" s="368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2"/>
      <c r="Q45" s="1351">
        <f t="shared" si="14"/>
        <v>111</v>
      </c>
      <c r="R45" s="707" t="s">
        <v>14</v>
      </c>
      <c r="S45" s="708">
        <f t="shared" si="10"/>
        <v>100</v>
      </c>
      <c r="T45" s="707" t="s">
        <v>14</v>
      </c>
      <c r="U45" s="708">
        <f t="shared" si="11"/>
        <v>100</v>
      </c>
      <c r="V45" s="707" t="s">
        <v>14</v>
      </c>
      <c r="W45" s="708">
        <f t="shared" si="12"/>
        <v>100</v>
      </c>
      <c r="X45" s="709"/>
      <c r="Y45" s="368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70" t="str">
        <f>A46</f>
        <v>成交单价</v>
      </c>
      <c r="Q46" s="3670"/>
      <c r="R46" s="3684">
        <f>E46</f>
        <v>0</v>
      </c>
      <c r="S46" s="3684"/>
      <c r="T46" s="3684">
        <f>G46</f>
        <v>0</v>
      </c>
      <c r="U46" s="3684"/>
      <c r="V46" s="3684">
        <f>I46</f>
        <v>0</v>
      </c>
      <c r="W46" s="3684"/>
      <c r="X46" s="689"/>
      <c r="Y46" s="711"/>
      <c r="Z46" s="689"/>
      <c r="AA46" s="689"/>
      <c r="AB46" s="689"/>
      <c r="AC46" s="689"/>
    </row>
    <row r="47" spans="1:29" ht="15.75" thickBot="1">
      <c r="A47" s="437" t="s">
        <v>1793</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70" t="str">
        <f>A47</f>
        <v>比较价值（元/平方米）</v>
      </c>
      <c r="Q47" s="3670"/>
      <c r="R47" s="3754" t="e">
        <f>ROUND(PRODUCT(R46,AA7:AA45),0)</f>
        <v>#DIV/0!</v>
      </c>
      <c r="S47" s="3754"/>
      <c r="T47" s="3754" t="e">
        <f>ROUND(PRODUCT(T46,AB7:AB45),0)</f>
        <v>#DIV/0!</v>
      </c>
      <c r="U47" s="3754"/>
      <c r="V47" s="3754" t="e">
        <f>ROUND(PRODUCT(V46,AC7:AC45),0)</f>
        <v>#DIV/0!</v>
      </c>
      <c r="W47" s="375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2" t="str">
        <f>A48</f>
        <v>估价对象XX用房的比较价值（楼面单价，元/平方米）</v>
      </c>
      <c r="Q48" s="3673"/>
      <c r="R48" s="3755" t="e">
        <f>ROUND(IF(D47="简单平均",AVERAGE(R47:W47),R47*F47+T47*H47+V47*J47),0)</f>
        <v>#DIV/0!</v>
      </c>
      <c r="S48" s="3755"/>
      <c r="T48" s="3755"/>
      <c r="U48" s="3755"/>
      <c r="V48" s="3755"/>
      <c r="W48" s="375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9"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241</v>
      </c>
      <c r="F56" s="885" t="e">
        <f t="shared" ref="F56:F64" si="15">ROUND(B56*E56/10000,0)</f>
        <v>#DIV/0!</v>
      </c>
      <c r="G56" s="3685"/>
      <c r="H56" s="367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241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99" t="s">
        <v>1771</v>
      </c>
      <c r="S4" s="3700"/>
      <c r="T4" s="3699" t="s">
        <v>1772</v>
      </c>
      <c r="U4" s="3700"/>
      <c r="V4" s="3684" t="s">
        <v>1773</v>
      </c>
      <c r="W4" s="3684"/>
      <c r="X4" s="1354"/>
      <c r="Y4" s="3699" t="s">
        <v>1775</v>
      </c>
      <c r="Z4" s="3700"/>
      <c r="AA4" s="3686" t="s">
        <v>1771</v>
      </c>
      <c r="AB4" s="3687" t="s">
        <v>1772</v>
      </c>
      <c r="AC4" s="3686" t="s">
        <v>1773</v>
      </c>
    </row>
    <row r="5" spans="1:29" ht="15">
      <c r="A5" s="358"/>
      <c r="B5" s="359"/>
      <c r="C5" s="3707" t="s">
        <v>1673</v>
      </c>
      <c r="D5" s="3708"/>
      <c r="E5" s="3714" t="s">
        <v>1674</v>
      </c>
      <c r="F5" s="3715"/>
      <c r="G5" s="3707" t="s">
        <v>1675</v>
      </c>
      <c r="H5" s="3708"/>
      <c r="I5" s="3707" t="s">
        <v>1676</v>
      </c>
      <c r="J5" s="3708"/>
      <c r="K5" s="559"/>
      <c r="L5" s="2714"/>
      <c r="M5" s="2715"/>
      <c r="N5" s="2715"/>
      <c r="O5" s="2715"/>
      <c r="P5" s="3695"/>
      <c r="Q5" s="3696"/>
      <c r="R5" s="3701"/>
      <c r="S5" s="3702"/>
      <c r="T5" s="3701"/>
      <c r="U5" s="3702"/>
      <c r="V5" s="3684"/>
      <c r="W5" s="3684"/>
      <c r="X5" s="1354"/>
      <c r="Y5" s="3701"/>
      <c r="Z5" s="3702"/>
      <c r="AA5" s="3687"/>
      <c r="AB5" s="3687"/>
      <c r="AC5" s="3687"/>
    </row>
    <row r="6" spans="1:29" ht="15.75" thickBot="1">
      <c r="A6" s="360"/>
      <c r="B6" s="361"/>
      <c r="C6" s="3757" t="s">
        <v>1919</v>
      </c>
      <c r="D6" s="3758"/>
      <c r="E6" s="3759" t="s">
        <v>1919</v>
      </c>
      <c r="F6" s="3760"/>
      <c r="G6" s="3757" t="s">
        <v>1919</v>
      </c>
      <c r="H6" s="3758"/>
      <c r="I6" s="3757" t="s">
        <v>1919</v>
      </c>
      <c r="J6" s="3758"/>
      <c r="K6" s="559" t="s">
        <v>1678</v>
      </c>
      <c r="L6" s="2714"/>
      <c r="M6" s="2715"/>
      <c r="N6" s="2715"/>
      <c r="O6" s="2715"/>
      <c r="P6" s="3697"/>
      <c r="Q6" s="3698"/>
      <c r="R6" s="3701"/>
      <c r="S6" s="3702"/>
      <c r="T6" s="3703"/>
      <c r="U6" s="3704"/>
      <c r="V6" s="3684"/>
      <c r="W6" s="3684"/>
      <c r="X6" s="1354"/>
      <c r="Y6" s="3703"/>
      <c r="Z6" s="3704"/>
      <c r="AA6" s="3688"/>
      <c r="AB6" s="3688"/>
      <c r="AC6" s="3688"/>
    </row>
    <row r="7" spans="1:29" s="108" customFormat="1" ht="15.75" thickBot="1">
      <c r="A7" s="362" t="s">
        <v>1679</v>
      </c>
      <c r="B7" s="363"/>
      <c r="C7" s="364">
        <f>'数据-取费表'!B2</f>
        <v>45432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9" t="s">
        <v>1680</v>
      </c>
      <c r="Q7" s="3711"/>
      <c r="R7" s="700" t="s">
        <v>14</v>
      </c>
      <c r="S7" s="701">
        <f t="shared" ref="S7:S15" si="0">F7</f>
        <v>0</v>
      </c>
      <c r="T7" s="700" t="s">
        <v>14</v>
      </c>
      <c r="U7" s="701">
        <f t="shared" ref="U7:U15" si="1">H7</f>
        <v>0</v>
      </c>
      <c r="V7" s="700" t="s">
        <v>14</v>
      </c>
      <c r="W7" s="701">
        <f t="shared" ref="W7:W15" si="2">J7</f>
        <v>0</v>
      </c>
      <c r="X7" s="702"/>
      <c r="Y7" s="3709" t="s">
        <v>1680</v>
      </c>
      <c r="Z7" s="371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1683</v>
      </c>
      <c r="Q8" s="3710"/>
      <c r="R8" s="700" t="s">
        <v>14</v>
      </c>
      <c r="S8" s="701">
        <f t="shared" si="0"/>
        <v>0</v>
      </c>
      <c r="T8" s="700" t="s">
        <v>14</v>
      </c>
      <c r="U8" s="701">
        <f t="shared" si="1"/>
        <v>0</v>
      </c>
      <c r="V8" s="700" t="s">
        <v>14</v>
      </c>
      <c r="W8" s="701">
        <f t="shared" si="2"/>
        <v>0</v>
      </c>
      <c r="X8" s="702"/>
      <c r="Y8" s="3709" t="s">
        <v>1683</v>
      </c>
      <c r="Z8" s="371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0"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172</v>
      </c>
      <c r="G10" s="383"/>
      <c r="H10" s="127">
        <f>ROUND(100/'数据-取费表'!G16,0)</f>
        <v>172</v>
      </c>
      <c r="I10" s="383"/>
      <c r="J10" s="127">
        <f>ROUND(100/'数据-取费表'!G16,0)</f>
        <v>172</v>
      </c>
      <c r="K10" s="619"/>
      <c r="L10" s="2718"/>
      <c r="M10" s="2719"/>
      <c r="N10" s="2719"/>
      <c r="O10" s="2772"/>
      <c r="P10" s="3670"/>
      <c r="Q10" s="1342" t="str">
        <f t="shared" si="6"/>
        <v>土地使用年限（年）</v>
      </c>
      <c r="R10" s="700" t="s">
        <v>14</v>
      </c>
      <c r="S10" s="701">
        <f t="shared" si="0"/>
        <v>172</v>
      </c>
      <c r="T10" s="700" t="s">
        <v>14</v>
      </c>
      <c r="U10" s="701">
        <f t="shared" si="1"/>
        <v>172</v>
      </c>
      <c r="V10" s="700" t="s">
        <v>14</v>
      </c>
      <c r="W10" s="701">
        <f t="shared" si="2"/>
        <v>172</v>
      </c>
      <c r="X10" s="702"/>
      <c r="Y10" s="3562"/>
      <c r="Z10" s="52" t="str">
        <f t="shared" si="7"/>
        <v>土地使用年限（年）</v>
      </c>
      <c r="AA10" s="703">
        <f t="shared" si="3"/>
        <v>0.58139534883720934</v>
      </c>
      <c r="AB10" s="703">
        <f t="shared" si="4"/>
        <v>0.58139534883720934</v>
      </c>
      <c r="AC10" s="703">
        <f t="shared" si="5"/>
        <v>0.58139534883720934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70"/>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70"/>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70"/>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70"/>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7" t="s">
        <v>1691</v>
      </c>
      <c r="Q15" s="1351" t="str">
        <f t="shared" si="6"/>
        <v>产业集聚程度</v>
      </c>
      <c r="R15" s="704" t="s">
        <v>14</v>
      </c>
      <c r="S15" s="705">
        <f t="shared" si="0"/>
        <v>100</v>
      </c>
      <c r="T15" s="704" t="s">
        <v>14</v>
      </c>
      <c r="U15" s="705">
        <f t="shared" si="1"/>
        <v>100</v>
      </c>
      <c r="V15" s="704" t="s">
        <v>14</v>
      </c>
      <c r="W15" s="705">
        <f t="shared" si="2"/>
        <v>100</v>
      </c>
      <c r="X15" s="1354"/>
      <c r="Y15" s="367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8"/>
      <c r="Q16" s="1351"/>
      <c r="R16" s="704"/>
      <c r="S16" s="705"/>
      <c r="T16" s="704"/>
      <c r="U16" s="705"/>
      <c r="V16" s="704"/>
      <c r="W16" s="705"/>
      <c r="X16" s="1354"/>
      <c r="Y16" s="367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8"/>
      <c r="Q17" s="1351" t="str">
        <f>B17</f>
        <v>交通便捷度</v>
      </c>
      <c r="R17" s="704" t="s">
        <v>14</v>
      </c>
      <c r="S17" s="705">
        <f>F17</f>
        <v>100</v>
      </c>
      <c r="T17" s="704" t="s">
        <v>14</v>
      </c>
      <c r="U17" s="705">
        <f>H17</f>
        <v>100</v>
      </c>
      <c r="V17" s="704" t="s">
        <v>14</v>
      </c>
      <c r="W17" s="705">
        <f>J17</f>
        <v>100</v>
      </c>
      <c r="X17" s="1354"/>
      <c r="Y17" s="367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8"/>
      <c r="Q18" s="1351"/>
      <c r="R18" s="704"/>
      <c r="S18" s="705"/>
      <c r="T18" s="704"/>
      <c r="U18" s="705"/>
      <c r="V18" s="704"/>
      <c r="W18" s="705"/>
      <c r="X18" s="1354"/>
      <c r="Y18" s="367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8"/>
      <c r="Q19" s="1351" t="str">
        <f t="shared" ref="Q19:Q33" si="8">B19</f>
        <v>区域土地利用方向</v>
      </c>
      <c r="R19" s="704" t="s">
        <v>14</v>
      </c>
      <c r="S19" s="705">
        <f>F19</f>
        <v>100</v>
      </c>
      <c r="T19" s="704" t="s">
        <v>14</v>
      </c>
      <c r="U19" s="705">
        <f>H19</f>
        <v>100</v>
      </c>
      <c r="V19" s="704" t="s">
        <v>14</v>
      </c>
      <c r="W19" s="705">
        <f>J19</f>
        <v>100</v>
      </c>
      <c r="X19" s="1354"/>
      <c r="Y19" s="367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8"/>
      <c r="Q20" s="1351"/>
      <c r="R20" s="704"/>
      <c r="S20" s="705"/>
      <c r="T20" s="704"/>
      <c r="U20" s="705"/>
      <c r="V20" s="704"/>
      <c r="W20" s="705"/>
      <c r="X20" s="1354"/>
      <c r="Y20" s="367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8"/>
      <c r="Q21" s="1351" t="str">
        <f t="shared" si="8"/>
        <v>环境状况</v>
      </c>
      <c r="R21" s="704" t="s">
        <v>14</v>
      </c>
      <c r="S21" s="705">
        <f>F21</f>
        <v>100</v>
      </c>
      <c r="T21" s="704" t="s">
        <v>14</v>
      </c>
      <c r="U21" s="705">
        <f>H21</f>
        <v>100</v>
      </c>
      <c r="V21" s="704" t="s">
        <v>14</v>
      </c>
      <c r="W21" s="705">
        <f>J21</f>
        <v>100</v>
      </c>
      <c r="X21" s="1354"/>
      <c r="Y21" s="367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8"/>
      <c r="Q22" s="1351"/>
      <c r="R22" s="704"/>
      <c r="S22" s="705"/>
      <c r="T22" s="704"/>
      <c r="U22" s="705"/>
      <c r="V22" s="704"/>
      <c r="W22" s="705"/>
      <c r="X22" s="1354"/>
      <c r="Y22" s="367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8"/>
      <c r="Q23" s="1342" t="str">
        <f t="shared" si="8"/>
        <v>公共配套设施</v>
      </c>
      <c r="R23" s="700" t="s">
        <v>14</v>
      </c>
      <c r="S23" s="701">
        <f>F23</f>
        <v>100</v>
      </c>
      <c r="T23" s="700" t="s">
        <v>14</v>
      </c>
      <c r="U23" s="701">
        <f>H23</f>
        <v>100</v>
      </c>
      <c r="V23" s="700" t="s">
        <v>14</v>
      </c>
      <c r="W23" s="701">
        <f>J23</f>
        <v>100</v>
      </c>
      <c r="X23" s="702"/>
      <c r="Y23" s="367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8"/>
      <c r="Q24" s="1342"/>
      <c r="R24" s="700"/>
      <c r="S24" s="701"/>
      <c r="T24" s="700"/>
      <c r="U24" s="701"/>
      <c r="V24" s="700"/>
      <c r="W24" s="701"/>
      <c r="X24" s="702"/>
      <c r="Y24" s="367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8"/>
      <c r="Q25" s="1342" t="str">
        <f t="shared" ref="Q25" si="9">B25</f>
        <v>基础设施水平</v>
      </c>
      <c r="R25" s="700" t="s">
        <v>14</v>
      </c>
      <c r="S25" s="701">
        <f>F25</f>
        <v>100</v>
      </c>
      <c r="T25" s="700" t="s">
        <v>14</v>
      </c>
      <c r="U25" s="701">
        <f>H25</f>
        <v>100</v>
      </c>
      <c r="V25" s="700" t="s">
        <v>14</v>
      </c>
      <c r="W25" s="701">
        <f>J25</f>
        <v>100</v>
      </c>
      <c r="X25" s="702"/>
      <c r="Y25" s="367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8"/>
      <c r="Q26" s="1342"/>
      <c r="R26" s="700"/>
      <c r="S26" s="701"/>
      <c r="T26" s="700"/>
      <c r="U26" s="701"/>
      <c r="V26" s="700"/>
      <c r="W26" s="701"/>
      <c r="X26" s="702"/>
      <c r="Y26" s="367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8"/>
      <c r="Q28" s="1351" t="str">
        <f t="shared" si="8"/>
        <v>毗邻道路的类型与等级</v>
      </c>
      <c r="R28" s="704" t="s">
        <v>14</v>
      </c>
      <c r="S28" s="705">
        <f t="shared" si="10"/>
        <v>100</v>
      </c>
      <c r="T28" s="704" t="s">
        <v>14</v>
      </c>
      <c r="U28" s="705">
        <f t="shared" si="11"/>
        <v>100</v>
      </c>
      <c r="V28" s="704" t="s">
        <v>14</v>
      </c>
      <c r="W28" s="705">
        <f t="shared" si="12"/>
        <v>100</v>
      </c>
      <c r="X28" s="1354"/>
      <c r="Y28" s="367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8"/>
      <c r="Q29" s="1351"/>
      <c r="R29" s="704"/>
      <c r="S29" s="705"/>
      <c r="T29" s="704"/>
      <c r="U29" s="705"/>
      <c r="V29" s="704"/>
      <c r="W29" s="705"/>
      <c r="X29" s="1354"/>
      <c r="Y29" s="367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8"/>
      <c r="Q30" s="1351" t="str">
        <f t="shared" si="8"/>
        <v>土地级别</v>
      </c>
      <c r="R30" s="704" t="s">
        <v>14</v>
      </c>
      <c r="S30" s="705">
        <f t="shared" si="10"/>
        <v>100</v>
      </c>
      <c r="T30" s="704" t="s">
        <v>14</v>
      </c>
      <c r="U30" s="705">
        <f t="shared" si="11"/>
        <v>100</v>
      </c>
      <c r="V30" s="704" t="s">
        <v>14</v>
      </c>
      <c r="W30" s="705">
        <f t="shared" si="12"/>
        <v>100</v>
      </c>
      <c r="X30" s="1354"/>
      <c r="Y30" s="367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8"/>
      <c r="Q31" s="1351">
        <f t="shared" si="8"/>
        <v>111</v>
      </c>
      <c r="R31" s="704" t="s">
        <v>14</v>
      </c>
      <c r="S31" s="705">
        <f t="shared" si="10"/>
        <v>100</v>
      </c>
      <c r="T31" s="704" t="s">
        <v>14</v>
      </c>
      <c r="U31" s="705">
        <f t="shared" si="11"/>
        <v>100</v>
      </c>
      <c r="V31" s="704" t="s">
        <v>14</v>
      </c>
      <c r="W31" s="705">
        <f t="shared" si="12"/>
        <v>100</v>
      </c>
      <c r="X31" s="1354"/>
      <c r="Y31" s="367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2" t="s">
        <v>1696</v>
      </c>
      <c r="Q32" s="1351">
        <f t="shared" si="8"/>
        <v>111</v>
      </c>
      <c r="R32" s="704" t="s">
        <v>14</v>
      </c>
      <c r="S32" s="705">
        <f t="shared" si="10"/>
        <v>100</v>
      </c>
      <c r="T32" s="704" t="s">
        <v>14</v>
      </c>
      <c r="U32" s="705">
        <f t="shared" si="11"/>
        <v>100</v>
      </c>
      <c r="V32" s="704" t="s">
        <v>14</v>
      </c>
      <c r="W32" s="705">
        <f t="shared" si="12"/>
        <v>100</v>
      </c>
      <c r="X32" s="1354"/>
      <c r="Y32" s="368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2"/>
      <c r="Q33" s="1351">
        <f t="shared" si="8"/>
        <v>111</v>
      </c>
      <c r="R33" s="707" t="s">
        <v>14</v>
      </c>
      <c r="S33" s="708">
        <f t="shared" si="10"/>
        <v>100</v>
      </c>
      <c r="T33" s="707" t="s">
        <v>14</v>
      </c>
      <c r="U33" s="708">
        <f t="shared" si="11"/>
        <v>100</v>
      </c>
      <c r="V33" s="707" t="s">
        <v>14</v>
      </c>
      <c r="W33" s="708">
        <f t="shared" si="12"/>
        <v>100</v>
      </c>
      <c r="X33" s="709"/>
      <c r="Y33" s="368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2"/>
      <c r="Q34" s="1351" t="str">
        <f>B34</f>
        <v>宗地面积</v>
      </c>
      <c r="R34" s="704" t="s">
        <v>14</v>
      </c>
      <c r="S34" s="705" t="e">
        <f t="shared" si="10"/>
        <v>#N/A</v>
      </c>
      <c r="T34" s="704" t="s">
        <v>14</v>
      </c>
      <c r="U34" s="705" t="e">
        <f t="shared" si="11"/>
        <v>#N/A</v>
      </c>
      <c r="V34" s="704" t="s">
        <v>14</v>
      </c>
      <c r="W34" s="705" t="e">
        <f t="shared" si="12"/>
        <v>#N/A</v>
      </c>
      <c r="X34" s="1354"/>
      <c r="Y34" s="368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2"/>
      <c r="Q35" s="1351" t="str">
        <f t="shared" ref="Q35:Q40" si="14">B35</f>
        <v>宗地形状</v>
      </c>
      <c r="R35" s="704" t="s">
        <v>14</v>
      </c>
      <c r="S35" s="705">
        <f t="shared" si="10"/>
        <v>100</v>
      </c>
      <c r="T35" s="704" t="s">
        <v>14</v>
      </c>
      <c r="U35" s="705">
        <f t="shared" si="11"/>
        <v>100</v>
      </c>
      <c r="V35" s="704" t="s">
        <v>14</v>
      </c>
      <c r="W35" s="705">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2"/>
      <c r="Q36" s="1351" t="str">
        <f t="shared" si="14"/>
        <v>宗地开发程度</v>
      </c>
      <c r="R36" s="700" t="s">
        <v>14</v>
      </c>
      <c r="S36" s="701">
        <f t="shared" si="10"/>
        <v>100</v>
      </c>
      <c r="T36" s="700" t="s">
        <v>14</v>
      </c>
      <c r="U36" s="701">
        <f t="shared" si="11"/>
        <v>100</v>
      </c>
      <c r="V36" s="700" t="s">
        <v>14</v>
      </c>
      <c r="W36" s="701">
        <f t="shared" si="12"/>
        <v>100</v>
      </c>
      <c r="X36" s="702"/>
      <c r="Y36" s="368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2" t="s">
        <v>1696</v>
      </c>
      <c r="Q37" s="1351" t="str">
        <f t="shared" si="14"/>
        <v>工程地质条件</v>
      </c>
      <c r="R37" s="704" t="s">
        <v>14</v>
      </c>
      <c r="S37" s="705">
        <f t="shared" si="10"/>
        <v>100</v>
      </c>
      <c r="T37" s="704" t="s">
        <v>14</v>
      </c>
      <c r="U37" s="705">
        <f t="shared" si="11"/>
        <v>100</v>
      </c>
      <c r="V37" s="704" t="s">
        <v>14</v>
      </c>
      <c r="W37" s="705">
        <f t="shared" si="12"/>
        <v>100</v>
      </c>
      <c r="X37" s="1354"/>
      <c r="Y37" s="368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2"/>
      <c r="Q38" s="1351">
        <f t="shared" si="14"/>
        <v>111</v>
      </c>
      <c r="R38" s="704" t="s">
        <v>14</v>
      </c>
      <c r="S38" s="705">
        <f t="shared" si="10"/>
        <v>100</v>
      </c>
      <c r="T38" s="704" t="s">
        <v>14</v>
      </c>
      <c r="U38" s="705">
        <f t="shared" si="11"/>
        <v>100</v>
      </c>
      <c r="V38" s="704" t="s">
        <v>14</v>
      </c>
      <c r="W38" s="705">
        <f t="shared" si="12"/>
        <v>100</v>
      </c>
      <c r="X38" s="1354"/>
      <c r="Y38" s="368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2"/>
      <c r="Q39" s="1351">
        <f t="shared" si="14"/>
        <v>111</v>
      </c>
      <c r="R39" s="704" t="s">
        <v>14</v>
      </c>
      <c r="S39" s="705">
        <f t="shared" si="10"/>
        <v>100</v>
      </c>
      <c r="T39" s="704" t="s">
        <v>14</v>
      </c>
      <c r="U39" s="705">
        <f t="shared" si="11"/>
        <v>100</v>
      </c>
      <c r="V39" s="704" t="s">
        <v>14</v>
      </c>
      <c r="W39" s="705">
        <f t="shared" si="12"/>
        <v>100</v>
      </c>
      <c r="X39" s="1354"/>
      <c r="Y39" s="368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2"/>
      <c r="Q40" s="1351">
        <f t="shared" si="14"/>
        <v>111</v>
      </c>
      <c r="R40" s="707" t="s">
        <v>14</v>
      </c>
      <c r="S40" s="708">
        <f t="shared" si="10"/>
        <v>100</v>
      </c>
      <c r="T40" s="707" t="s">
        <v>14</v>
      </c>
      <c r="U40" s="708">
        <f t="shared" si="11"/>
        <v>100</v>
      </c>
      <c r="V40" s="707" t="s">
        <v>14</v>
      </c>
      <c r="W40" s="708">
        <f t="shared" si="12"/>
        <v>100</v>
      </c>
      <c r="X40" s="709"/>
      <c r="Y40" s="368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70" t="str">
        <f>A41</f>
        <v>成交单价</v>
      </c>
      <c r="Q41" s="3670"/>
      <c r="R41" s="3684">
        <f>E41</f>
        <v>0</v>
      </c>
      <c r="S41" s="3684"/>
      <c r="T41" s="3684">
        <f>G41</f>
        <v>0</v>
      </c>
      <c r="U41" s="3684"/>
      <c r="V41" s="3684">
        <f>I41</f>
        <v>0</v>
      </c>
      <c r="W41" s="3684"/>
      <c r="X41" s="689"/>
      <c r="Y41" s="711"/>
      <c r="Z41" s="689"/>
      <c r="AA41" s="689"/>
      <c r="AB41" s="689"/>
      <c r="AC41" s="689"/>
    </row>
    <row r="42" spans="1:31" ht="15.75" thickBot="1">
      <c r="A42" s="437" t="s">
        <v>1793</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70" t="str">
        <f>A42</f>
        <v>比较价值（元/平方米）</v>
      </c>
      <c r="Q42" s="3670"/>
      <c r="R42" s="3754" t="e">
        <f>ROUND(PRODUCT(R41,AA7:AA40),0)</f>
        <v>#DIV/0!</v>
      </c>
      <c r="S42" s="3754"/>
      <c r="T42" s="3754" t="e">
        <f>ROUND(PRODUCT(T41,AB7:AB40),0)</f>
        <v>#DIV/0!</v>
      </c>
      <c r="U42" s="3754"/>
      <c r="V42" s="3754" t="e">
        <f>ROUND(PRODUCT(V41,AC7:AC40),0)</f>
        <v>#DIV/0!</v>
      </c>
      <c r="W42" s="375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2" t="str">
        <f>A43</f>
        <v>估价对象XX用房的比较价值（楼面单价，元/平方米）</v>
      </c>
      <c r="Q43" s="3673"/>
      <c r="R43" s="3755" t="e">
        <f>ROUND(IF(D42="简单平均",AVERAGE(R42:W42),R42*F42+T42*H42+V42*J42),0)</f>
        <v>#DIV/0!</v>
      </c>
      <c r="S43" s="3755"/>
      <c r="T43" s="3755"/>
      <c r="U43" s="3755"/>
      <c r="V43" s="3755"/>
      <c r="W43" s="375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9" t="s">
        <v>1887</v>
      </c>
      <c r="H50" s="375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241</v>
      </c>
      <c r="F51" s="638" t="e">
        <f t="shared" ref="F51:F60" si="15">ROUND(B51*E51/10000,0)</f>
        <v>#DIV/0!</v>
      </c>
      <c r="G51" s="3685"/>
      <c r="H51" s="367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v>
      </c>
      <c r="D59" s="944">
        <v>0.25</v>
      </c>
      <c r="E59" s="217">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1429.33</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510</v>
      </c>
      <c r="C2" s="2144" t="s">
        <v>2074</v>
      </c>
      <c r="D2" s="2144" t="s">
        <v>2075</v>
      </c>
      <c r="E2" s="2611">
        <f ca="1">SUMIF(E6:E13,"&lt;&gt;#ref!",E6:E13)</f>
        <v>1429.33</v>
      </c>
      <c r="F2" s="2792"/>
      <c r="G2" s="2792"/>
      <c r="H2" s="2792"/>
      <c r="I2" s="2792"/>
      <c r="J2" s="2792"/>
      <c r="K2" s="2792"/>
      <c r="L2" s="2792"/>
      <c r="M2" s="2792"/>
      <c r="N2" s="2792"/>
      <c r="O2" s="2792"/>
      <c r="P2" s="2792"/>
    </row>
    <row r="3" spans="1:16" ht="15.75">
      <c r="A3" s="2144" t="s">
        <v>2076</v>
      </c>
      <c r="B3" s="2601">
        <f ca="1">ROUND(B2*10000/E2,0)</f>
        <v>3568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510</v>
      </c>
      <c r="C6" s="2144" t="s">
        <v>2074</v>
      </c>
      <c r="D6" s="2792"/>
      <c r="E6" s="2611">
        <f ca="1">SUMIF(INDIRECT("'"&amp;A6&amp;"'"&amp;"!C:C"),"建筑面积",INDIRECT("'"&amp;A6&amp;"'"&amp;"!D:D"))</f>
        <v>1429.33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5"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1429.33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510</v>
      </c>
      <c r="C2" s="1998" t="s">
        <v>1935</v>
      </c>
      <c r="D2" s="1999" t="s">
        <v>1936</v>
      </c>
      <c r="E2" s="3420"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4463</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3568</v>
      </c>
      <c r="C3" s="1998" t="s">
        <v>1941</v>
      </c>
      <c r="D3" s="1999" t="s">
        <v>1942</v>
      </c>
      <c r="E3" s="3453" t="s">
        <v>2450</v>
      </c>
      <c r="F3" s="2003" t="s">
        <v>3469</v>
      </c>
      <c r="G3" s="751">
        <f>IF(F3="宗地容积率",'数据-汇总表'!I4,IF(F3="估价对象容积率",'数据-汇总表'!I6,'数据-汇总表'!I7))</f>
        <v>1</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3440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2806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5645</v>
      </c>
      <c r="D5" s="1338">
        <f>ROUND(C6*C17+C20,0)</f>
        <v>5645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2382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2170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6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3255</v>
      </c>
      <c r="B20" s="167" t="s">
        <v>1994</v>
      </c>
      <c r="C20" s="3324">
        <f>ROUND(IF(F21="与级别开发程度一致",0,(G21-E21)/C21),0)</f>
        <v>15</v>
      </c>
      <c r="D20" s="3340" t="s">
        <v>1998</v>
      </c>
      <c r="E20" s="3341"/>
      <c r="F20" s="3778" t="s">
        <v>1995</v>
      </c>
      <c r="G20" s="3779"/>
      <c r="H20" s="3325" t="s">
        <v>3384</v>
      </c>
      <c r="I20" s="3325" t="s">
        <v>3385</v>
      </c>
      <c r="J20" s="3326" t="s">
        <v>3386</v>
      </c>
      <c r="K20" s="2046" t="s">
        <v>3387</v>
      </c>
      <c r="L20" s="2046" t="s">
        <v>3388</v>
      </c>
      <c r="M20" s="2046" t="s">
        <v>3441</v>
      </c>
      <c r="N20" s="2046" t="s">
        <v>3448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3"/>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3470</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30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2002</v>
      </c>
      <c r="E23" s="760">
        <v>44197</v>
      </c>
      <c r="F23" s="2053" t="s">
        <v>2003</v>
      </c>
      <c r="G23" s="761">
        <f>'数据-取费表'!B2</f>
        <v>45432</v>
      </c>
      <c r="H23" s="3342" t="s">
        <v>3256</v>
      </c>
      <c r="I23" s="3343" t="str">
        <f>IF(H23="季度增幅（自定义）",SUMIF(N25:N28,E2,O25:O28),"")</f>
        <v/>
      </c>
      <c r="J23" s="3444" t="s">
        <v>3478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0.60189999999999999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14.15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1.2333000000000001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510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3570</v>
      </c>
      <c r="D33" s="2097">
        <f>'数据-汇总表'!D19</f>
        <v>1429.33</v>
      </c>
      <c r="E33" s="772">
        <f>ROUND(C33*D33/10000,0)</f>
        <v>510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893</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5">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f>ROUND(D5*C22*C23*C24*C28*F37,0)</f>
        <v>1447</v>
      </c>
      <c r="D37" s="2097"/>
      <c r="E37" s="171">
        <f>ROUND(C37*D37/10000,0)</f>
        <v>0</v>
      </c>
      <c r="F37" s="171">
        <f>SUMIF(修正!A57:A68,G2,修正!B57:B68)</f>
        <v>0.5</v>
      </c>
      <c r="G37" s="171">
        <f>ROUND(IF(E2="工业",C37*$M$42,C37*$M$41),0)</f>
        <v>362</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f>ROUND(D5*C22*C23*C24*C28*F38,0)</f>
        <v>579</v>
      </c>
      <c r="D38" s="2097"/>
      <c r="E38" s="171">
        <f t="shared" ref="E38:E42" si="4">ROUND(C38*D38/10000,0)</f>
        <v>0</v>
      </c>
      <c r="F38" s="171">
        <f>SUMIF(修正!A57:A68,G2,修正!C57:C68)</f>
        <v>0.2</v>
      </c>
      <c r="G38" s="171">
        <f>ROUND(IF(E2="工业",C38*$M$42,C38*$M$41),0)</f>
        <v>145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3259</v>
      </c>
      <c r="C39" s="175">
        <f>ROUND(D5*C22*C23*C24*C28*F39,0)</f>
        <v>579</v>
      </c>
      <c r="D39" s="2097"/>
      <c r="E39" s="171">
        <f t="shared" si="4"/>
        <v>0</v>
      </c>
      <c r="F39" s="171">
        <f>SUMIF(修正!A57:A68,G2,修正!D57:D68)</f>
        <v>0.2</v>
      </c>
      <c r="G39" s="171">
        <f>ROUND(IF(E2="工业",C39*$M$42,C39*$M$41),0)</f>
        <v>145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579</v>
      </c>
      <c r="D40" s="2097"/>
      <c r="E40" s="171">
        <f t="shared" si="4"/>
        <v>0</v>
      </c>
      <c r="F40" s="175">
        <f>SUMIF(修正!A57:A68,G2,修正!E57:E68)</f>
        <v>0.2</v>
      </c>
      <c r="G40" s="171">
        <f>ROUND(IF(E2="工业",C40*$M$42,C40*$M$41),0)</f>
        <v>145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3454">
        <f>'数据-汇总表'!G19</f>
        <v>0</v>
      </c>
      <c r="E42" s="187">
        <f t="shared" si="4"/>
        <v>0</v>
      </c>
      <c r="F42" s="766">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3402</v>
      </c>
      <c r="D50" s="1064">
        <f t="shared" ref="D50:D58" si="7">SUMIF($J$49:$N$49,C50,J50:N50)</f>
        <v>0</v>
      </c>
      <c r="E50" s="743">
        <f>ROUND(SUM(D50:D58),4)</f>
        <v>2.01E-2</v>
      </c>
      <c r="F50" s="1813">
        <f>IF(E2="商业",SUMIF(L1:L12,G2,N1:N12),"——")</f>
        <v>0.15</v>
      </c>
      <c r="G50" s="1062">
        <f t="shared" ref="G50:G58" si="8">H50</f>
        <v>2.2499999999999999E-2</v>
      </c>
      <c r="H50" s="1065">
        <f t="shared" ref="H50:H58" si="9">IFERROR(ROUNDDOWN($F$50*I50/2,4),"——")</f>
        <v>2.2499999999999999E-2</v>
      </c>
      <c r="I50" s="3366">
        <v>0.3</v>
      </c>
      <c r="J50" s="1063">
        <f t="shared" ref="J50:J58" si="10">K50+$G50</f>
        <v>4.4999999999999998E-2</v>
      </c>
      <c r="K50" s="1063">
        <f t="shared" ref="K50:K58" si="11">$L50+$G50</f>
        <v>2.2499999999999999E-2</v>
      </c>
      <c r="L50" s="1063">
        <v>0</v>
      </c>
      <c r="M50" s="1063">
        <f t="shared" ref="M50:N58" si="12">L50-$G50</f>
        <v>-2.2499999999999999E-2</v>
      </c>
      <c r="N50" s="1063">
        <f t="shared" si="12"/>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3402</v>
      </c>
      <c r="D51" s="1064">
        <f t="shared" si="7"/>
        <v>0</v>
      </c>
      <c r="E51" s="744"/>
      <c r="F51" s="1813"/>
      <c r="G51" s="1062">
        <f t="shared" si="8"/>
        <v>1.6500000000000001E-2</v>
      </c>
      <c r="H51" s="1065">
        <f t="shared" si="9"/>
        <v>1.6500000000000001E-2</v>
      </c>
      <c r="I51" s="3366">
        <v>0.22</v>
      </c>
      <c r="J51" s="1063">
        <f t="shared" si="10"/>
        <v>3.3000000000000002E-2</v>
      </c>
      <c r="K51" s="1063">
        <f t="shared" si="11"/>
        <v>1.6500000000000001E-2</v>
      </c>
      <c r="L51" s="1063">
        <v>0</v>
      </c>
      <c r="M51" s="1063">
        <f t="shared" si="12"/>
        <v>-1.6500000000000001E-2</v>
      </c>
      <c r="N51" s="1063">
        <f t="shared" si="12"/>
        <v>-3.3000000000000002E-2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8.9999999999999993E-3</v>
      </c>
      <c r="E52" s="744"/>
      <c r="F52" s="1813"/>
      <c r="G52" s="1062">
        <f t="shared" si="8"/>
        <v>8.9999999999999993E-3</v>
      </c>
      <c r="H52" s="1065">
        <f t="shared" si="9"/>
        <v>8.9999999999999993E-3</v>
      </c>
      <c r="I52" s="3366">
        <v>0.12</v>
      </c>
      <c r="J52" s="1063">
        <f t="shared" si="10"/>
        <v>1.7999999999999999E-2</v>
      </c>
      <c r="K52" s="1063">
        <f t="shared" si="11"/>
        <v>8.9999999999999993E-3</v>
      </c>
      <c r="L52" s="1063">
        <v>0</v>
      </c>
      <c r="M52" s="1063">
        <f t="shared" si="12"/>
        <v>-8.9999999999999993E-3</v>
      </c>
      <c r="N52" s="1063">
        <f t="shared" si="12"/>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3401</v>
      </c>
      <c r="D53" s="1064">
        <f t="shared" si="7"/>
        <v>3.7000000000000002E-3</v>
      </c>
      <c r="E53" s="744"/>
      <c r="F53" s="1813"/>
      <c r="G53" s="1062">
        <f t="shared" si="8"/>
        <v>3.7000000000000002E-3</v>
      </c>
      <c r="H53" s="1065">
        <f t="shared" si="9"/>
        <v>3.7000000000000002E-3</v>
      </c>
      <c r="I53" s="3366">
        <v>0.05</v>
      </c>
      <c r="J53" s="1063">
        <f t="shared" si="10"/>
        <v>7.4000000000000003E-3</v>
      </c>
      <c r="K53" s="1063">
        <f t="shared" si="11"/>
        <v>3.7000000000000002E-3</v>
      </c>
      <c r="L53" s="1063">
        <v>0</v>
      </c>
      <c r="M53" s="1063">
        <f t="shared" si="12"/>
        <v>-3.7000000000000002E-3</v>
      </c>
      <c r="N53" s="1063">
        <f t="shared" si="12"/>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3403</v>
      </c>
      <c r="D54" s="1064">
        <f t="shared" si="7"/>
        <v>-6.0000000000000001E-3</v>
      </c>
      <c r="E54" s="744"/>
      <c r="F54" s="1813"/>
      <c r="G54" s="1062">
        <f t="shared" si="8"/>
        <v>6.0000000000000001E-3</v>
      </c>
      <c r="H54" s="1065">
        <f t="shared" si="9"/>
        <v>6.0000000000000001E-3</v>
      </c>
      <c r="I54" s="3366">
        <v>0.08</v>
      </c>
      <c r="J54" s="1063">
        <f t="shared" si="10"/>
        <v>1.2E-2</v>
      </c>
      <c r="K54" s="1063">
        <f t="shared" si="11"/>
        <v>6.0000000000000001E-3</v>
      </c>
      <c r="L54" s="1063">
        <v>0</v>
      </c>
      <c r="M54" s="1063">
        <f t="shared" si="12"/>
        <v>-6.0000000000000001E-3</v>
      </c>
      <c r="N54" s="1063">
        <f t="shared" si="12"/>
        <v>-1.2E-2</v>
      </c>
      <c r="AA54" s="1119"/>
      <c r="AB54" s="1119"/>
      <c r="AC54" s="1119"/>
      <c r="AD54" s="1119"/>
      <c r="AE54" s="1119"/>
      <c r="AF54" s="1119"/>
      <c r="AG54" s="1119"/>
      <c r="AH54" s="1119"/>
      <c r="AI54" s="1119"/>
      <c r="AJ54" s="1119"/>
      <c r="AK54" s="1119"/>
    </row>
    <row r="55" spans="1:37" s="1118" customFormat="1" ht="24">
      <c r="A55" s="2129" t="s">
        <v>2057</v>
      </c>
      <c r="B55" s="2135" t="s">
        <v>2058</v>
      </c>
      <c r="C55" s="2043" t="s">
        <v>3401</v>
      </c>
      <c r="D55" s="1064">
        <f t="shared" si="7"/>
        <v>3.7000000000000002E-3</v>
      </c>
      <c r="E55" s="744"/>
      <c r="F55" s="1813"/>
      <c r="G55" s="1062">
        <f t="shared" si="8"/>
        <v>3.7000000000000002E-3</v>
      </c>
      <c r="H55" s="1065">
        <f t="shared" si="9"/>
        <v>3.7000000000000002E-3</v>
      </c>
      <c r="I55" s="3366">
        <v>0.05</v>
      </c>
      <c r="J55" s="1063">
        <f t="shared" si="10"/>
        <v>7.4000000000000003E-3</v>
      </c>
      <c r="K55" s="1063">
        <f t="shared" si="11"/>
        <v>3.7000000000000002E-3</v>
      </c>
      <c r="L55" s="1063">
        <v>0</v>
      </c>
      <c r="M55" s="1063">
        <f t="shared" si="12"/>
        <v>-3.7000000000000002E-3</v>
      </c>
      <c r="N55" s="1063">
        <f t="shared" si="12"/>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3402</v>
      </c>
      <c r="D56" s="1064">
        <f t="shared" si="7"/>
        <v>0</v>
      </c>
      <c r="E56" s="744"/>
      <c r="F56" s="1813"/>
      <c r="G56" s="1062">
        <f t="shared" si="8"/>
        <v>3.7000000000000002E-3</v>
      </c>
      <c r="H56" s="1065">
        <f t="shared" si="9"/>
        <v>3.7000000000000002E-3</v>
      </c>
      <c r="I56" s="3366">
        <v>0.05</v>
      </c>
      <c r="J56" s="1063">
        <f t="shared" si="10"/>
        <v>7.4000000000000003E-3</v>
      </c>
      <c r="K56" s="1063">
        <f t="shared" si="11"/>
        <v>3.7000000000000002E-3</v>
      </c>
      <c r="L56" s="1063">
        <v>0</v>
      </c>
      <c r="M56" s="1063">
        <f t="shared" si="12"/>
        <v>-3.7000000000000002E-3</v>
      </c>
      <c r="N56" s="1063">
        <f t="shared" si="12"/>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6.0000000000000001E-3</v>
      </c>
      <c r="E57" s="744"/>
      <c r="F57" s="1813"/>
      <c r="G57" s="1062">
        <f t="shared" si="8"/>
        <v>6.0000000000000001E-3</v>
      </c>
      <c r="H57" s="1065">
        <f t="shared" si="9"/>
        <v>6.0000000000000001E-3</v>
      </c>
      <c r="I57" s="3366">
        <v>0.08</v>
      </c>
      <c r="J57" s="1063">
        <f t="shared" si="10"/>
        <v>1.2E-2</v>
      </c>
      <c r="K57" s="1063">
        <f t="shared" si="11"/>
        <v>6.0000000000000001E-3</v>
      </c>
      <c r="L57" s="1063">
        <v>0</v>
      </c>
      <c r="M57" s="1063">
        <f t="shared" si="12"/>
        <v>-6.0000000000000001E-3</v>
      </c>
      <c r="N57" s="1063">
        <f t="shared" si="12"/>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3401</v>
      </c>
      <c r="D58" s="1064">
        <f t="shared" si="7"/>
        <v>3.7000000000000002E-3</v>
      </c>
      <c r="E58" s="745"/>
      <c r="F58" s="1813"/>
      <c r="G58" s="1062">
        <f t="shared" si="8"/>
        <v>3.7000000000000002E-3</v>
      </c>
      <c r="H58" s="1065">
        <f t="shared" si="9"/>
        <v>3.7000000000000002E-3</v>
      </c>
      <c r="I58" s="3367">
        <v>0.05</v>
      </c>
      <c r="J58" s="1063">
        <f t="shared" si="10"/>
        <v>7.4000000000000003E-3</v>
      </c>
      <c r="K58" s="1063">
        <f t="shared" si="11"/>
        <v>3.7000000000000002E-3</v>
      </c>
      <c r="L58" s="1063">
        <v>0</v>
      </c>
      <c r="M58" s="1063">
        <f t="shared" si="12"/>
        <v>-3.7000000000000002E-3</v>
      </c>
      <c r="N58" s="1063">
        <f t="shared" si="12"/>
        <v>-7.4000000000000003E-3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3270</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19"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19"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19"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19"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19"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19"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19"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19" t="str">
        <f t="shared" si="32"/>
        <v>——</v>
      </c>
      <c r="I101" s="3367">
        <v>7.0000000000000007E-2</v>
      </c>
      <c r="J101" s="3344">
        <f t="shared" si="28"/>
        <v>0</v>
      </c>
      <c r="K101" s="3344">
        <f t="shared" si="29"/>
        <v>0</v>
      </c>
      <c r="L101" s="3344">
        <v>0</v>
      </c>
      <c r="M101" s="3344">
        <f t="shared" si="30"/>
        <v>0</v>
      </c>
      <c r="N101" s="3344">
        <f t="shared" si="30"/>
        <v>0</v>
      </c>
    </row>
    <row r="103" spans="1:14">
      <c r="A103" s="3774" t="s">
        <v>3294</v>
      </c>
      <c r="B103" s="3774"/>
      <c r="C103" s="3774"/>
      <c r="D103" s="3774"/>
      <c r="E103" s="3774"/>
      <c r="F103" s="3774"/>
      <c r="G103" s="3774"/>
      <c r="H103" s="3774"/>
      <c r="I103" s="3774"/>
      <c r="J103" s="3774"/>
      <c r="K103" s="3389"/>
      <c r="L103" s="3389"/>
      <c r="M103" s="3389"/>
      <c r="N103" s="3389"/>
    </row>
    <row r="104" spans="1:14">
      <c r="A104" s="3775" t="s">
        <v>3295</v>
      </c>
      <c r="B104" s="3775" t="s">
        <v>3296</v>
      </c>
      <c r="C104" s="3390" t="s">
        <v>3297</v>
      </c>
      <c r="D104" s="3391"/>
      <c r="E104" s="3391"/>
      <c r="F104" s="3391"/>
      <c r="G104" s="3391"/>
      <c r="H104" s="3391"/>
      <c r="I104" s="3391"/>
      <c r="J104" s="3392"/>
      <c r="K104" s="3393"/>
      <c r="L104" s="3393"/>
      <c r="M104" s="3393"/>
      <c r="N104" s="3393"/>
    </row>
    <row r="105" spans="1:14">
      <c r="A105" s="3775"/>
      <c r="B105" s="377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63"/>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64" t="s">
        <v>3311</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0.8306</v>
      </c>
      <c r="E116" s="1999" t="s">
        <v>3314</v>
      </c>
      <c r="F116" s="3401" t="str">
        <f>E2</f>
        <v>商业</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9" t="s">
        <v>2608</v>
      </c>
      <c r="B20" s="3784" t="s">
        <v>2629</v>
      </c>
      <c r="C20" s="3102" t="s">
        <v>2440</v>
      </c>
      <c r="D20" s="3103"/>
      <c r="E20" s="3104">
        <v>1</v>
      </c>
      <c r="F20" s="3105" t="s">
        <v>2441</v>
      </c>
      <c r="G20" s="3105"/>
    </row>
    <row r="21" spans="1:13" ht="19.5" customHeight="1">
      <c r="A21" s="3790"/>
      <c r="B21" s="3783"/>
      <c r="C21" s="3106" t="s">
        <v>2442</v>
      </c>
      <c r="D21" s="3107"/>
      <c r="E21" s="3108">
        <v>1</v>
      </c>
      <c r="F21" s="3105" t="s">
        <v>2443</v>
      </c>
      <c r="G21" s="3105"/>
    </row>
    <row r="22" spans="1:13" ht="19.5" customHeight="1">
      <c r="A22" s="3790"/>
      <c r="B22" s="3783"/>
      <c r="C22" s="3106" t="s">
        <v>2444</v>
      </c>
      <c r="D22" s="3107"/>
      <c r="E22" s="3108">
        <v>0.9</v>
      </c>
      <c r="F22" s="3105" t="s">
        <v>2445</v>
      </c>
      <c r="G22" s="3105"/>
    </row>
    <row r="23" spans="1:13" ht="19.5" customHeight="1">
      <c r="A23" s="3790"/>
      <c r="B23" s="3783"/>
      <c r="C23" s="3106" t="s">
        <v>2446</v>
      </c>
      <c r="D23" s="3107"/>
      <c r="E23" s="3108">
        <v>0.9</v>
      </c>
      <c r="F23" s="3105" t="s">
        <v>2447</v>
      </c>
      <c r="G23" s="3105"/>
    </row>
    <row r="24" spans="1:13" ht="19.5" customHeight="1">
      <c r="A24" s="3790"/>
      <c r="B24" s="3783"/>
      <c r="C24" s="3106" t="s">
        <v>2448</v>
      </c>
      <c r="D24" s="3107"/>
      <c r="E24" s="3108">
        <v>0.8</v>
      </c>
      <c r="F24" s="3105" t="s">
        <v>2449</v>
      </c>
      <c r="G24" s="3105"/>
    </row>
    <row r="25" spans="1:13" ht="19.5" customHeight="1" thickBot="1">
      <c r="A25" s="3791"/>
      <c r="B25" s="3785"/>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6" t="s">
        <v>2632</v>
      </c>
      <c r="B27" s="3784" t="s">
        <v>2613</v>
      </c>
      <c r="C27" s="3102" t="s">
        <v>2453</v>
      </c>
      <c r="D27" s="3103"/>
      <c r="E27" s="3104">
        <v>1</v>
      </c>
      <c r="F27" s="3105" t="s">
        <v>2454</v>
      </c>
      <c r="G27" s="3105"/>
    </row>
    <row r="28" spans="1:13" ht="19.5" customHeight="1">
      <c r="A28" s="3787"/>
      <c r="B28" s="3783"/>
      <c r="C28" s="3106" t="s">
        <v>2455</v>
      </c>
      <c r="D28" s="3107"/>
      <c r="E28" s="3108">
        <v>1</v>
      </c>
      <c r="F28" s="3105" t="s">
        <v>2456</v>
      </c>
      <c r="G28" s="3105"/>
    </row>
    <row r="29" spans="1:13" ht="19.5" customHeight="1">
      <c r="A29" s="3787"/>
      <c r="B29" s="3783"/>
      <c r="C29" s="3106" t="s">
        <v>2457</v>
      </c>
      <c r="D29" s="3107"/>
      <c r="E29" s="3108">
        <v>0.8</v>
      </c>
      <c r="F29" s="3105" t="s">
        <v>2458</v>
      </c>
      <c r="G29" s="3105"/>
    </row>
    <row r="30" spans="1:13" ht="19.5" customHeight="1">
      <c r="A30" s="3787"/>
      <c r="B30" s="3783"/>
      <c r="C30" s="3106" t="s">
        <v>2459</v>
      </c>
      <c r="D30" s="3107"/>
      <c r="E30" s="3108">
        <v>0.8</v>
      </c>
      <c r="F30" s="3105" t="s">
        <v>2460</v>
      </c>
      <c r="G30" s="3105"/>
    </row>
    <row r="31" spans="1:13" ht="19.5" customHeight="1">
      <c r="A31" s="3787"/>
      <c r="B31" s="3783"/>
      <c r="C31" s="3106" t="s">
        <v>2461</v>
      </c>
      <c r="D31" s="3107"/>
      <c r="E31" s="3108">
        <v>0.8</v>
      </c>
      <c r="F31" s="3105" t="s">
        <v>2462</v>
      </c>
      <c r="G31" s="3105"/>
    </row>
    <row r="32" spans="1:13" ht="19.5" customHeight="1">
      <c r="A32" s="3787"/>
      <c r="B32" s="3783"/>
      <c r="C32" s="3106" t="s">
        <v>2463</v>
      </c>
      <c r="D32" s="3107"/>
      <c r="E32" s="3108">
        <v>0.7</v>
      </c>
      <c r="F32" s="3105" t="s">
        <v>2464</v>
      </c>
      <c r="G32" s="3105"/>
    </row>
    <row r="33" spans="1:7" ht="19.5" customHeight="1">
      <c r="A33" s="3787"/>
      <c r="B33" s="3783"/>
      <c r="C33" s="3106" t="s">
        <v>2465</v>
      </c>
      <c r="D33" s="3107"/>
      <c r="E33" s="3108">
        <v>0.8</v>
      </c>
      <c r="F33" s="3105" t="s">
        <v>2466</v>
      </c>
      <c r="G33" s="3105"/>
    </row>
    <row r="34" spans="1:7" ht="19.5" customHeight="1">
      <c r="A34" s="3787"/>
      <c r="B34" s="3783"/>
      <c r="C34" s="3106" t="s">
        <v>2467</v>
      </c>
      <c r="D34" s="3107"/>
      <c r="E34" s="3108">
        <v>0.6</v>
      </c>
      <c r="F34" s="3105" t="s">
        <v>2468</v>
      </c>
      <c r="G34" s="3105"/>
    </row>
    <row r="35" spans="1:7" ht="19.5" customHeight="1">
      <c r="A35" s="3787"/>
      <c r="B35" s="3783"/>
      <c r="C35" s="3106" t="s">
        <v>2469</v>
      </c>
      <c r="D35" s="3107"/>
      <c r="E35" s="3108">
        <v>0.2</v>
      </c>
      <c r="F35" s="3105" t="s">
        <v>2470</v>
      </c>
      <c r="G35" s="3105"/>
    </row>
    <row r="36" spans="1:7" ht="19.5" customHeight="1">
      <c r="A36" s="3787"/>
      <c r="B36" s="3783"/>
      <c r="C36" s="3106" t="s">
        <v>2471</v>
      </c>
      <c r="D36" s="3107"/>
      <c r="E36" s="3108">
        <v>0.2</v>
      </c>
      <c r="F36" s="3105" t="s">
        <v>2472</v>
      </c>
      <c r="G36" s="3105"/>
    </row>
    <row r="37" spans="1:7" ht="19.5" customHeight="1">
      <c r="A37" s="3787"/>
      <c r="B37" s="3781" t="s">
        <v>2633</v>
      </c>
      <c r="C37" s="3106" t="s">
        <v>2473</v>
      </c>
      <c r="D37" s="3107"/>
      <c r="E37" s="3108">
        <v>0.6</v>
      </c>
      <c r="F37" s="3105" t="s">
        <v>2474</v>
      </c>
      <c r="G37" s="3105"/>
    </row>
    <row r="38" spans="1:7" ht="19.5" customHeight="1">
      <c r="A38" s="3787"/>
      <c r="B38" s="3783"/>
      <c r="C38" s="3106" t="s">
        <v>2475</v>
      </c>
      <c r="D38" s="3107"/>
      <c r="E38" s="3108">
        <v>0.6</v>
      </c>
      <c r="F38" s="3105" t="s">
        <v>2476</v>
      </c>
      <c r="G38" s="3105"/>
    </row>
    <row r="39" spans="1:7" ht="19.5" customHeight="1" thickBot="1">
      <c r="A39" s="3788"/>
      <c r="B39" s="3785"/>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9" t="s">
        <v>2611</v>
      </c>
      <c r="B41" s="3784" t="s">
        <v>2635</v>
      </c>
      <c r="C41" s="3102" t="s">
        <v>2480</v>
      </c>
      <c r="D41" s="3103"/>
      <c r="E41" s="3104">
        <v>1</v>
      </c>
      <c r="F41" s="3105" t="s">
        <v>2481</v>
      </c>
      <c r="G41" s="3105"/>
    </row>
    <row r="42" spans="1:7" ht="19.5" customHeight="1">
      <c r="A42" s="3790"/>
      <c r="B42" s="3783"/>
      <c r="C42" s="3106" t="s">
        <v>2482</v>
      </c>
      <c r="D42" s="3107"/>
      <c r="E42" s="3108">
        <v>1</v>
      </c>
      <c r="F42" s="3105" t="s">
        <v>2483</v>
      </c>
      <c r="G42" s="3105"/>
    </row>
    <row r="43" spans="1:7" ht="19.5" customHeight="1">
      <c r="A43" s="3790"/>
      <c r="B43" s="3782"/>
      <c r="C43" s="3106" t="s">
        <v>2484</v>
      </c>
      <c r="D43" s="3107"/>
      <c r="E43" s="3108">
        <v>1.5</v>
      </c>
      <c r="F43" s="3105" t="s">
        <v>2485</v>
      </c>
      <c r="G43" s="3105"/>
    </row>
    <row r="44" spans="1:7" ht="19.5" customHeight="1">
      <c r="A44" s="3790"/>
      <c r="B44" s="3117" t="s">
        <v>2636</v>
      </c>
      <c r="C44" s="3106" t="s">
        <v>2637</v>
      </c>
      <c r="D44" s="3107"/>
      <c r="E44" s="3108">
        <v>2</v>
      </c>
      <c r="F44" s="3105" t="s">
        <v>2486</v>
      </c>
      <c r="G44" s="3105"/>
    </row>
    <row r="45" spans="1:7" ht="19.5" customHeight="1">
      <c r="A45" s="3790"/>
      <c r="B45" s="3781" t="s">
        <v>2638</v>
      </c>
      <c r="C45" s="3106" t="s">
        <v>2487</v>
      </c>
      <c r="D45" s="3107"/>
      <c r="E45" s="3108">
        <v>1</v>
      </c>
      <c r="F45" s="3105" t="s">
        <v>2488</v>
      </c>
      <c r="G45" s="3105"/>
    </row>
    <row r="46" spans="1:7" ht="19.5" customHeight="1">
      <c r="A46" s="3790"/>
      <c r="B46" s="3783"/>
      <c r="C46" s="3106" t="s">
        <v>2489</v>
      </c>
      <c r="D46" s="3107"/>
      <c r="E46" s="3108">
        <v>1</v>
      </c>
      <c r="F46" s="3105" t="s">
        <v>2490</v>
      </c>
      <c r="G46" s="3105"/>
    </row>
    <row r="47" spans="1:7" ht="19.5" customHeight="1">
      <c r="A47" s="3790"/>
      <c r="B47" s="3783"/>
      <c r="C47" s="3106" t="s">
        <v>2491</v>
      </c>
      <c r="D47" s="3107"/>
      <c r="E47" s="3108">
        <v>1</v>
      </c>
      <c r="F47" s="3105" t="s">
        <v>2492</v>
      </c>
      <c r="G47" s="3105"/>
    </row>
    <row r="48" spans="1:7" ht="19.5" customHeight="1">
      <c r="A48" s="3790"/>
      <c r="B48" s="3783"/>
      <c r="C48" s="3106" t="s">
        <v>2493</v>
      </c>
      <c r="D48" s="3107"/>
      <c r="E48" s="3108">
        <v>1</v>
      </c>
      <c r="F48" s="3105" t="s">
        <v>2494</v>
      </c>
      <c r="G48" s="3105"/>
    </row>
    <row r="49" spans="1:7" ht="19.5" customHeight="1">
      <c r="A49" s="3790"/>
      <c r="B49" s="3783"/>
      <c r="C49" s="3106" t="s">
        <v>2495</v>
      </c>
      <c r="D49" s="3107"/>
      <c r="E49" s="3108">
        <v>1</v>
      </c>
      <c r="F49" s="3105" t="s">
        <v>2496</v>
      </c>
      <c r="G49" s="3105"/>
    </row>
    <row r="50" spans="1:7" ht="19.5" customHeight="1">
      <c r="A50" s="3790"/>
      <c r="B50" s="3783"/>
      <c r="C50" s="3106" t="s">
        <v>2497</v>
      </c>
      <c r="D50" s="3107"/>
      <c r="E50" s="3108">
        <v>1</v>
      </c>
      <c r="F50" s="3105" t="s">
        <v>2498</v>
      </c>
      <c r="G50" s="3105"/>
    </row>
    <row r="51" spans="1:7" ht="19.5" customHeight="1" thickBot="1">
      <c r="A51" s="3791"/>
      <c r="B51" s="3785"/>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81" t="s">
        <v>2652</v>
      </c>
      <c r="C73" s="3091" t="s">
        <v>2653</v>
      </c>
      <c r="D73" s="3091" t="s">
        <v>2654</v>
      </c>
      <c r="E73" s="3117">
        <v>0.2</v>
      </c>
      <c r="F73" s="3117">
        <v>25</v>
      </c>
    </row>
    <row r="74" spans="1:7" ht="24">
      <c r="A74" s="3117">
        <v>2</v>
      </c>
      <c r="B74" s="3783"/>
      <c r="C74" s="3091" t="s">
        <v>2655</v>
      </c>
      <c r="D74" s="3091" t="s">
        <v>2656</v>
      </c>
      <c r="E74" s="3117">
        <v>0.2</v>
      </c>
      <c r="F74" s="3117">
        <v>25</v>
      </c>
    </row>
    <row r="75" spans="1:7" ht="24">
      <c r="A75" s="3117">
        <v>3</v>
      </c>
      <c r="B75" s="3783"/>
      <c r="C75" s="3091" t="s">
        <v>2657</v>
      </c>
      <c r="D75" s="3091" t="s">
        <v>2658</v>
      </c>
      <c r="E75" s="3117">
        <v>0.2</v>
      </c>
      <c r="F75" s="3117">
        <v>25</v>
      </c>
    </row>
    <row r="76" spans="1:7" ht="13.5">
      <c r="A76" s="3117">
        <v>4</v>
      </c>
      <c r="B76" s="3783"/>
      <c r="C76" s="3091" t="s">
        <v>2659</v>
      </c>
      <c r="D76" s="3091" t="s">
        <v>2660</v>
      </c>
      <c r="E76" s="3117">
        <v>0.15</v>
      </c>
      <c r="F76" s="3117">
        <v>20</v>
      </c>
    </row>
    <row r="77" spans="1:7" ht="24">
      <c r="A77" s="3117">
        <v>5</v>
      </c>
      <c r="B77" s="3783"/>
      <c r="C77" s="3091" t="s">
        <v>2661</v>
      </c>
      <c r="D77" s="3091" t="s">
        <v>2662</v>
      </c>
      <c r="E77" s="3117">
        <v>0.15</v>
      </c>
      <c r="F77" s="3117">
        <v>20</v>
      </c>
    </row>
    <row r="78" spans="1:7" ht="24">
      <c r="A78" s="3117">
        <v>6</v>
      </c>
      <c r="B78" s="3783"/>
      <c r="C78" s="3091" t="s">
        <v>2663</v>
      </c>
      <c r="D78" s="3091" t="s">
        <v>2664</v>
      </c>
      <c r="E78" s="3117">
        <v>0.15</v>
      </c>
      <c r="F78" s="3117">
        <v>20</v>
      </c>
    </row>
    <row r="79" spans="1:7" ht="24">
      <c r="A79" s="3117">
        <v>7</v>
      </c>
      <c r="B79" s="3783"/>
      <c r="C79" s="3091" t="s">
        <v>2665</v>
      </c>
      <c r="D79" s="3091" t="s">
        <v>2666</v>
      </c>
      <c r="E79" s="3117">
        <v>0.15</v>
      </c>
      <c r="F79" s="3117">
        <v>20</v>
      </c>
    </row>
    <row r="80" spans="1:7" ht="24">
      <c r="A80" s="3117">
        <v>8</v>
      </c>
      <c r="B80" s="3783"/>
      <c r="C80" s="3091" t="s">
        <v>2667</v>
      </c>
      <c r="D80" s="3091" t="s">
        <v>2668</v>
      </c>
      <c r="E80" s="3117">
        <v>0.1</v>
      </c>
      <c r="F80" s="3117">
        <v>15</v>
      </c>
    </row>
    <row r="81" spans="1:6" ht="24">
      <c r="A81" s="3117">
        <v>9</v>
      </c>
      <c r="B81" s="3783"/>
      <c r="C81" s="3091" t="s">
        <v>2669</v>
      </c>
      <c r="D81" s="3091" t="s">
        <v>2670</v>
      </c>
      <c r="E81" s="3117">
        <v>0.1</v>
      </c>
      <c r="F81" s="3117">
        <v>15</v>
      </c>
    </row>
    <row r="82" spans="1:6" ht="24">
      <c r="A82" s="3117">
        <v>10</v>
      </c>
      <c r="B82" s="3783"/>
      <c r="C82" s="3091" t="s">
        <v>2671</v>
      </c>
      <c r="D82" s="3091" t="s">
        <v>2672</v>
      </c>
      <c r="E82" s="3117">
        <v>0.1</v>
      </c>
      <c r="F82" s="3117">
        <v>15</v>
      </c>
    </row>
    <row r="83" spans="1:6" ht="24">
      <c r="A83" s="3117">
        <v>11</v>
      </c>
      <c r="B83" s="3783"/>
      <c r="C83" s="3091" t="s">
        <v>2673</v>
      </c>
      <c r="D83" s="3091" t="s">
        <v>2674</v>
      </c>
      <c r="E83" s="3117">
        <v>0.1</v>
      </c>
      <c r="F83" s="3117">
        <v>15</v>
      </c>
    </row>
    <row r="84" spans="1:6" ht="24">
      <c r="A84" s="3117">
        <v>12</v>
      </c>
      <c r="B84" s="3783"/>
      <c r="C84" s="3091" t="s">
        <v>2675</v>
      </c>
      <c r="D84" s="3091" t="s">
        <v>2676</v>
      </c>
      <c r="E84" s="3117">
        <v>0.1</v>
      </c>
      <c r="F84" s="3117">
        <v>15</v>
      </c>
    </row>
    <row r="85" spans="1:6" ht="13.5">
      <c r="A85" s="3117">
        <v>13</v>
      </c>
      <c r="B85" s="3783"/>
      <c r="C85" s="3091" t="s">
        <v>2677</v>
      </c>
      <c r="D85" s="3091" t="s">
        <v>2678</v>
      </c>
      <c r="E85" s="3117">
        <v>0.1</v>
      </c>
      <c r="F85" s="3117">
        <v>15</v>
      </c>
    </row>
    <row r="86" spans="1:6" ht="13.5">
      <c r="A86" s="3117">
        <v>14</v>
      </c>
      <c r="B86" s="3783"/>
      <c r="C86" s="3091" t="s">
        <v>2679</v>
      </c>
      <c r="D86" s="3091" t="s">
        <v>2680</v>
      </c>
      <c r="E86" s="3117">
        <v>0.1</v>
      </c>
      <c r="F86" s="3117">
        <v>15</v>
      </c>
    </row>
    <row r="87" spans="1:6" ht="13.5">
      <c r="A87" s="3117">
        <v>15</v>
      </c>
      <c r="B87" s="3783"/>
      <c r="C87" s="3091" t="s">
        <v>2681</v>
      </c>
      <c r="D87" s="3091" t="s">
        <v>2682</v>
      </c>
      <c r="E87" s="3117">
        <v>0.1</v>
      </c>
      <c r="F87" s="3117">
        <v>15</v>
      </c>
    </row>
    <row r="88" spans="1:6" ht="24">
      <c r="A88" s="3117">
        <v>16</v>
      </c>
      <c r="B88" s="3783"/>
      <c r="C88" s="3091" t="s">
        <v>2683</v>
      </c>
      <c r="D88" s="3091" t="s">
        <v>2684</v>
      </c>
      <c r="E88" s="3117">
        <v>0.1</v>
      </c>
      <c r="F88" s="3117">
        <v>15</v>
      </c>
    </row>
    <row r="89" spans="1:6" ht="24">
      <c r="A89" s="3117">
        <v>17</v>
      </c>
      <c r="B89" s="3782"/>
      <c r="C89" s="3091" t="s">
        <v>2685</v>
      </c>
      <c r="D89" s="3091" t="s">
        <v>2686</v>
      </c>
      <c r="E89" s="3117">
        <v>0.1</v>
      </c>
      <c r="F89" s="3117">
        <v>15</v>
      </c>
    </row>
    <row r="90" spans="1:6" ht="13.5">
      <c r="A90" s="3117">
        <v>18</v>
      </c>
      <c r="B90" s="3781" t="s">
        <v>2687</v>
      </c>
      <c r="C90" s="3091" t="s">
        <v>2688</v>
      </c>
      <c r="D90" s="3091" t="s">
        <v>2689</v>
      </c>
      <c r="E90" s="3117">
        <v>0.2</v>
      </c>
      <c r="F90" s="3117">
        <v>25</v>
      </c>
    </row>
    <row r="91" spans="1:6" ht="24">
      <c r="A91" s="3117">
        <v>19</v>
      </c>
      <c r="B91" s="3783"/>
      <c r="C91" s="3091" t="s">
        <v>2690</v>
      </c>
      <c r="D91" s="3091" t="s">
        <v>2691</v>
      </c>
      <c r="E91" s="3117">
        <v>0.2</v>
      </c>
      <c r="F91" s="3117">
        <v>25</v>
      </c>
    </row>
    <row r="92" spans="1:6" ht="13.5">
      <c r="A92" s="3117">
        <v>20</v>
      </c>
      <c r="B92" s="3783"/>
      <c r="C92" s="3091" t="s">
        <v>2692</v>
      </c>
      <c r="D92" s="3091" t="s">
        <v>2693</v>
      </c>
      <c r="E92" s="3117">
        <v>0.15</v>
      </c>
      <c r="F92" s="3117">
        <v>20</v>
      </c>
    </row>
    <row r="93" spans="1:6" ht="13.5">
      <c r="A93" s="3117">
        <v>21</v>
      </c>
      <c r="B93" s="3783"/>
      <c r="C93" s="3091" t="s">
        <v>2694</v>
      </c>
      <c r="D93" s="3091" t="s">
        <v>2695</v>
      </c>
      <c r="E93" s="3117">
        <v>0.15</v>
      </c>
      <c r="F93" s="3117">
        <v>20</v>
      </c>
    </row>
    <row r="94" spans="1:6" ht="13.5">
      <c r="A94" s="3117">
        <v>22</v>
      </c>
      <c r="B94" s="3783"/>
      <c r="C94" s="3091" t="s">
        <v>2696</v>
      </c>
      <c r="D94" s="3091" t="s">
        <v>2697</v>
      </c>
      <c r="E94" s="3117">
        <v>0.15</v>
      </c>
      <c r="F94" s="3117">
        <v>20</v>
      </c>
    </row>
    <row r="95" spans="1:6" ht="36">
      <c r="A95" s="3117">
        <v>23</v>
      </c>
      <c r="B95" s="3783"/>
      <c r="C95" s="3091" t="s">
        <v>2698</v>
      </c>
      <c r="D95" s="3091" t="s">
        <v>2699</v>
      </c>
      <c r="E95" s="3117">
        <v>0.15</v>
      </c>
      <c r="F95" s="3117">
        <v>20</v>
      </c>
    </row>
    <row r="96" spans="1:6" ht="13.5">
      <c r="A96" s="3117">
        <v>24</v>
      </c>
      <c r="B96" s="3783"/>
      <c r="C96" s="3091" t="s">
        <v>2700</v>
      </c>
      <c r="D96" s="3091" t="s">
        <v>2701</v>
      </c>
      <c r="E96" s="3117">
        <v>0.1</v>
      </c>
      <c r="F96" s="3117">
        <v>15</v>
      </c>
    </row>
    <row r="97" spans="1:6" ht="13.5">
      <c r="A97" s="3117">
        <v>25</v>
      </c>
      <c r="B97" s="3783"/>
      <c r="C97" s="3091" t="s">
        <v>2702</v>
      </c>
      <c r="D97" s="3091" t="s">
        <v>2703</v>
      </c>
      <c r="E97" s="3117">
        <v>0.1</v>
      </c>
      <c r="F97" s="3117">
        <v>15</v>
      </c>
    </row>
    <row r="98" spans="1:6" ht="24">
      <c r="A98" s="3117">
        <v>26</v>
      </c>
      <c r="B98" s="3783"/>
      <c r="C98" s="3091" t="s">
        <v>2704</v>
      </c>
      <c r="D98" s="3091" t="s">
        <v>2705</v>
      </c>
      <c r="E98" s="3117">
        <v>0.1</v>
      </c>
      <c r="F98" s="3117">
        <v>15</v>
      </c>
    </row>
    <row r="99" spans="1:6" ht="24">
      <c r="A99" s="3117">
        <v>27</v>
      </c>
      <c r="B99" s="3783"/>
      <c r="C99" s="3091" t="s">
        <v>2706</v>
      </c>
      <c r="D99" s="3091" t="s">
        <v>2707</v>
      </c>
      <c r="E99" s="3117">
        <v>0.1</v>
      </c>
      <c r="F99" s="3117">
        <v>15</v>
      </c>
    </row>
    <row r="100" spans="1:6" ht="13.5">
      <c r="A100" s="3117">
        <v>28</v>
      </c>
      <c r="B100" s="3783"/>
      <c r="C100" s="3091" t="s">
        <v>2708</v>
      </c>
      <c r="D100" s="3091" t="s">
        <v>2709</v>
      </c>
      <c r="E100" s="3117">
        <v>0.1</v>
      </c>
      <c r="F100" s="3117">
        <v>15</v>
      </c>
    </row>
    <row r="101" spans="1:6" ht="13.5">
      <c r="A101" s="3117">
        <v>29</v>
      </c>
      <c r="B101" s="3783"/>
      <c r="C101" s="3091" t="s">
        <v>2710</v>
      </c>
      <c r="D101" s="3091" t="s">
        <v>2711</v>
      </c>
      <c r="E101" s="3117">
        <v>0.1</v>
      </c>
      <c r="F101" s="3117">
        <v>15</v>
      </c>
    </row>
    <row r="102" spans="1:6" ht="13.5">
      <c r="A102" s="3117">
        <v>30</v>
      </c>
      <c r="B102" s="3783"/>
      <c r="C102" s="3091" t="s">
        <v>2712</v>
      </c>
      <c r="D102" s="3091" t="s">
        <v>2713</v>
      </c>
      <c r="E102" s="3117">
        <v>0.1</v>
      </c>
      <c r="F102" s="3117">
        <v>15</v>
      </c>
    </row>
    <row r="103" spans="1:6" ht="24">
      <c r="A103" s="3117">
        <v>31</v>
      </c>
      <c r="B103" s="3783"/>
      <c r="C103" s="3091" t="s">
        <v>2714</v>
      </c>
      <c r="D103" s="3091" t="s">
        <v>2715</v>
      </c>
      <c r="E103" s="3117">
        <v>0.1</v>
      </c>
      <c r="F103" s="3117">
        <v>15</v>
      </c>
    </row>
    <row r="104" spans="1:6" ht="24">
      <c r="A104" s="3117">
        <v>32</v>
      </c>
      <c r="B104" s="3783"/>
      <c r="C104" s="3091" t="s">
        <v>2716</v>
      </c>
      <c r="D104" s="3091" t="s">
        <v>2717</v>
      </c>
      <c r="E104" s="3117">
        <v>0.1</v>
      </c>
      <c r="F104" s="3117">
        <v>15</v>
      </c>
    </row>
    <row r="105" spans="1:6" ht="24">
      <c r="A105" s="3117">
        <v>33</v>
      </c>
      <c r="B105" s="3783"/>
      <c r="C105" s="3091" t="s">
        <v>2718</v>
      </c>
      <c r="D105" s="3091" t="s">
        <v>2719</v>
      </c>
      <c r="E105" s="3117">
        <v>0.1</v>
      </c>
      <c r="F105" s="3117">
        <v>15</v>
      </c>
    </row>
    <row r="106" spans="1:6" ht="24">
      <c r="A106" s="3117">
        <v>34</v>
      </c>
      <c r="B106" s="3782"/>
      <c r="C106" s="3091" t="s">
        <v>2720</v>
      </c>
      <c r="D106" s="3091" t="s">
        <v>2721</v>
      </c>
      <c r="E106" s="3117">
        <v>0.1</v>
      </c>
      <c r="F106" s="3117">
        <v>15</v>
      </c>
    </row>
    <row r="107" spans="1:6" ht="24">
      <c r="A107" s="3117">
        <v>35</v>
      </c>
      <c r="B107" s="3781" t="s">
        <v>2722</v>
      </c>
      <c r="C107" s="3117" t="s">
        <v>2723</v>
      </c>
      <c r="D107" s="3091" t="s">
        <v>2724</v>
      </c>
      <c r="E107" s="3117">
        <v>0.15</v>
      </c>
      <c r="F107" s="3117">
        <v>20</v>
      </c>
    </row>
    <row r="108" spans="1:6" ht="13.5">
      <c r="A108" s="3117">
        <v>36</v>
      </c>
      <c r="B108" s="3783"/>
      <c r="C108" s="3117" t="s">
        <v>2725</v>
      </c>
      <c r="D108" s="3091" t="s">
        <v>2726</v>
      </c>
      <c r="E108" s="3117">
        <v>0.15</v>
      </c>
      <c r="F108" s="3117">
        <v>20</v>
      </c>
    </row>
    <row r="109" spans="1:6" ht="13.5">
      <c r="A109" s="3117">
        <v>37</v>
      </c>
      <c r="B109" s="3783"/>
      <c r="C109" s="3117" t="s">
        <v>2727</v>
      </c>
      <c r="D109" s="3091" t="s">
        <v>2728</v>
      </c>
      <c r="E109" s="3117">
        <v>0.15</v>
      </c>
      <c r="F109" s="3117">
        <v>20</v>
      </c>
    </row>
    <row r="110" spans="1:6" ht="13.5">
      <c r="A110" s="3117">
        <v>38</v>
      </c>
      <c r="B110" s="3783"/>
      <c r="C110" s="3117" t="s">
        <v>2729</v>
      </c>
      <c r="D110" s="3091" t="s">
        <v>2730</v>
      </c>
      <c r="E110" s="3117">
        <v>0.1</v>
      </c>
      <c r="F110" s="3117">
        <v>15</v>
      </c>
    </row>
    <row r="111" spans="1:6" ht="24">
      <c r="A111" s="3117">
        <v>39</v>
      </c>
      <c r="B111" s="3783"/>
      <c r="C111" s="3117" t="s">
        <v>2731</v>
      </c>
      <c r="D111" s="3091" t="s">
        <v>2732</v>
      </c>
      <c r="E111" s="3117">
        <v>0.1</v>
      </c>
      <c r="F111" s="3117">
        <v>15</v>
      </c>
    </row>
    <row r="112" spans="1:6" ht="24">
      <c r="A112" s="3117">
        <v>40</v>
      </c>
      <c r="B112" s="3782"/>
      <c r="C112" s="3117" t="s">
        <v>2733</v>
      </c>
      <c r="D112" s="3091" t="s">
        <v>2734</v>
      </c>
      <c r="E112" s="3117">
        <v>0.1</v>
      </c>
      <c r="F112" s="3117">
        <v>15</v>
      </c>
    </row>
    <row r="113" spans="1:6" ht="13.5">
      <c r="A113" s="3117">
        <v>41</v>
      </c>
      <c r="B113" s="3780" t="s">
        <v>2735</v>
      </c>
      <c r="C113" s="3117" t="s">
        <v>2736</v>
      </c>
      <c r="D113" s="3091" t="s">
        <v>2737</v>
      </c>
      <c r="E113" s="3117">
        <v>0.1</v>
      </c>
      <c r="F113" s="3117">
        <v>15</v>
      </c>
    </row>
    <row r="114" spans="1:6" ht="13.5">
      <c r="A114" s="3117">
        <v>42</v>
      </c>
      <c r="B114" s="3780"/>
      <c r="C114" s="3117" t="s">
        <v>2738</v>
      </c>
      <c r="D114" s="3091" t="s">
        <v>2739</v>
      </c>
      <c r="E114" s="3117">
        <v>0.1</v>
      </c>
      <c r="F114" s="3117">
        <v>15</v>
      </c>
    </row>
    <row r="115" spans="1:6" ht="24">
      <c r="A115" s="3117">
        <v>43</v>
      </c>
      <c r="B115" s="3780"/>
      <c r="C115" s="3117" t="s">
        <v>2740</v>
      </c>
      <c r="D115" s="3091" t="s">
        <v>2741</v>
      </c>
      <c r="E115" s="3117">
        <v>0.1</v>
      </c>
      <c r="F115" s="3117">
        <v>15</v>
      </c>
    </row>
    <row r="116" spans="1:6" ht="13.5">
      <c r="A116" s="3117">
        <v>44</v>
      </c>
      <c r="B116" s="3781" t="s">
        <v>2742</v>
      </c>
      <c r="C116" s="3117" t="s">
        <v>2743</v>
      </c>
      <c r="D116" s="3091" t="s">
        <v>2744</v>
      </c>
      <c r="E116" s="3117">
        <v>0.1</v>
      </c>
      <c r="F116" s="3117">
        <v>15</v>
      </c>
    </row>
    <row r="117" spans="1:6" ht="24">
      <c r="A117" s="3117">
        <v>45</v>
      </c>
      <c r="B117" s="3782"/>
      <c r="C117" s="3091" t="s">
        <v>2745</v>
      </c>
      <c r="D117" s="3091" t="s">
        <v>2746</v>
      </c>
      <c r="E117" s="3117">
        <v>0.1</v>
      </c>
      <c r="F117" s="3117">
        <v>15</v>
      </c>
    </row>
    <row r="118" spans="1:6" ht="24">
      <c r="A118" s="3117">
        <v>46</v>
      </c>
      <c r="B118" s="3781" t="s">
        <v>2747</v>
      </c>
      <c r="C118" s="3117" t="s">
        <v>2748</v>
      </c>
      <c r="D118" s="3091" t="s">
        <v>2749</v>
      </c>
      <c r="E118" s="3117">
        <v>0.1</v>
      </c>
      <c r="F118" s="3117">
        <v>15</v>
      </c>
    </row>
    <row r="119" spans="1:6" ht="24">
      <c r="A119" s="3117">
        <v>47</v>
      </c>
      <c r="B119" s="3782"/>
      <c r="C119" s="3117" t="s">
        <v>2750</v>
      </c>
      <c r="D119" s="3091" t="s">
        <v>2751</v>
      </c>
      <c r="E119" s="3117">
        <v>0.1</v>
      </c>
      <c r="F119" s="3117">
        <v>15</v>
      </c>
    </row>
    <row r="120" spans="1:6" ht="13.5">
      <c r="A120" s="3117">
        <v>48</v>
      </c>
      <c r="B120" s="3781" t="s">
        <v>2752</v>
      </c>
      <c r="C120" s="3117" t="s">
        <v>2753</v>
      </c>
      <c r="D120" s="3091" t="s">
        <v>2754</v>
      </c>
      <c r="E120" s="3117">
        <v>0.1</v>
      </c>
      <c r="F120" s="3117">
        <v>15</v>
      </c>
    </row>
    <row r="121" spans="1:6" ht="13.5">
      <c r="A121" s="3117">
        <v>49</v>
      </c>
      <c r="B121" s="3782"/>
      <c r="C121" s="3117" t="s">
        <v>2755</v>
      </c>
      <c r="D121" s="3091" t="s">
        <v>2756</v>
      </c>
      <c r="E121" s="3117">
        <v>0.1</v>
      </c>
      <c r="F121" s="3117">
        <v>15</v>
      </c>
    </row>
    <row r="122" spans="1:6" ht="24">
      <c r="A122" s="3117">
        <v>50</v>
      </c>
      <c r="B122" s="3780" t="s">
        <v>2757</v>
      </c>
      <c r="C122" s="3117" t="s">
        <v>2758</v>
      </c>
      <c r="D122" s="3091" t="s">
        <v>2759</v>
      </c>
      <c r="E122" s="3117">
        <v>0.1</v>
      </c>
      <c r="F122" s="3117">
        <v>15</v>
      </c>
    </row>
    <row r="123" spans="1:6" ht="24">
      <c r="A123" s="3117">
        <v>51</v>
      </c>
      <c r="B123" s="3780"/>
      <c r="C123" s="3117" t="s">
        <v>2760</v>
      </c>
      <c r="D123" s="3091" t="s">
        <v>2761</v>
      </c>
      <c r="E123" s="3117">
        <v>0.1</v>
      </c>
      <c r="F123" s="3117">
        <v>15</v>
      </c>
    </row>
    <row r="124" spans="1:6" ht="24">
      <c r="A124" s="3117">
        <v>52</v>
      </c>
      <c r="B124" s="3780" t="s">
        <v>2762</v>
      </c>
      <c r="C124" s="3117" t="s">
        <v>2763</v>
      </c>
      <c r="D124" s="3091" t="s">
        <v>2764</v>
      </c>
      <c r="E124" s="3117">
        <v>0.1</v>
      </c>
      <c r="F124" s="3117">
        <v>15</v>
      </c>
    </row>
    <row r="125" spans="1:6" ht="24">
      <c r="A125" s="3117">
        <v>53</v>
      </c>
      <c r="B125" s="3780"/>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0" t="s">
        <v>2770</v>
      </c>
      <c r="C127" s="3117" t="s">
        <v>2771</v>
      </c>
      <c r="D127" s="3091" t="s">
        <v>2772</v>
      </c>
      <c r="E127" s="3117">
        <v>0.1</v>
      </c>
      <c r="F127" s="3117">
        <v>15</v>
      </c>
    </row>
    <row r="128" spans="1:6" ht="13.5">
      <c r="A128" s="3117">
        <v>56</v>
      </c>
      <c r="B128" s="3780"/>
      <c r="C128" s="3117" t="s">
        <v>2773</v>
      </c>
      <c r="D128" s="3091" t="s">
        <v>2774</v>
      </c>
      <c r="E128" s="3117">
        <v>0.1</v>
      </c>
      <c r="F128" s="3117">
        <v>15</v>
      </c>
    </row>
    <row r="129" spans="1:6" ht="24">
      <c r="A129" s="3117">
        <v>57</v>
      </c>
      <c r="B129" s="3780"/>
      <c r="C129" s="3117" t="s">
        <v>2775</v>
      </c>
      <c r="D129" s="3091" t="s">
        <v>2776</v>
      </c>
      <c r="E129" s="3117">
        <v>0.1</v>
      </c>
      <c r="F129" s="3117">
        <v>15</v>
      </c>
    </row>
    <row r="130" spans="1:6" ht="24">
      <c r="A130" s="3117">
        <v>58</v>
      </c>
      <c r="B130" s="3780" t="s">
        <v>2777</v>
      </c>
      <c r="C130" s="3117" t="s">
        <v>2778</v>
      </c>
      <c r="D130" s="3091" t="s">
        <v>2779</v>
      </c>
      <c r="E130" s="3117">
        <v>0.1</v>
      </c>
      <c r="F130" s="3117">
        <v>15</v>
      </c>
    </row>
    <row r="131" spans="1:6" ht="13.5">
      <c r="A131" s="3117">
        <v>59</v>
      </c>
      <c r="B131" s="3780"/>
      <c r="C131" s="3117" t="s">
        <v>2780</v>
      </c>
      <c r="D131" s="3091" t="s">
        <v>2781</v>
      </c>
      <c r="E131" s="3117">
        <v>0.1</v>
      </c>
      <c r="F131" s="3117">
        <v>15</v>
      </c>
    </row>
    <row r="132" spans="1:6" ht="13.5">
      <c r="A132" s="3117">
        <v>60</v>
      </c>
      <c r="B132" s="3781" t="s">
        <v>2782</v>
      </c>
      <c r="C132" s="3117" t="s">
        <v>2783</v>
      </c>
      <c r="D132" s="3091" t="s">
        <v>2784</v>
      </c>
      <c r="E132" s="3117">
        <v>0.1</v>
      </c>
      <c r="F132" s="3117">
        <v>15</v>
      </c>
    </row>
    <row r="133" spans="1:6" ht="13.5">
      <c r="A133" s="3117">
        <v>61</v>
      </c>
      <c r="B133" s="3782"/>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0" t="s">
        <v>2790</v>
      </c>
      <c r="C135" s="3117" t="s">
        <v>2791</v>
      </c>
      <c r="D135" s="3091" t="s">
        <v>2792</v>
      </c>
      <c r="E135" s="3117">
        <v>0.1</v>
      </c>
      <c r="F135" s="3117">
        <v>15</v>
      </c>
    </row>
    <row r="136" spans="1:6" ht="13.5">
      <c r="A136" s="3117">
        <v>64</v>
      </c>
      <c r="B136" s="3780"/>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436</v>
      </c>
      <c r="E5" s="1490"/>
    </row>
    <row r="6" spans="1:5" ht="15.75">
      <c r="A6" s="1490"/>
      <c r="B6" s="3474"/>
      <c r="C6" s="1493" t="s">
        <v>911</v>
      </c>
      <c r="D6" s="849" t="str">
        <f ca="1">NUMBERSTRING(INT(D5*10000),2)&amp;"元整"</f>
        <v>肆佰叁拾陆万元整</v>
      </c>
      <c r="E6" s="1490"/>
    </row>
    <row r="7" spans="1:5" ht="15.75">
      <c r="A7" s="1490"/>
      <c r="B7" s="3479"/>
      <c r="C7" s="1494" t="s">
        <v>912</v>
      </c>
      <c r="D7" s="850">
        <f ca="1">结果表!H102</f>
        <v>18091</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436</v>
      </c>
      <c r="E13" s="1490"/>
    </row>
    <row r="14" spans="1:5" ht="15.75">
      <c r="A14" s="1490"/>
      <c r="B14" s="3474"/>
      <c r="C14" s="1493" t="s">
        <v>911</v>
      </c>
      <c r="D14" s="849" t="str">
        <f ca="1">NUMBERSTRING(INT(D13*10000),2)&amp;"元整"</f>
        <v>肆佰叁拾陆万元整</v>
      </c>
      <c r="E14" s="1490"/>
    </row>
    <row r="15" spans="1:5" ht="15">
      <c r="A15" s="1490"/>
      <c r="B15" s="3479"/>
      <c r="C15" s="1494" t="s">
        <v>921</v>
      </c>
      <c r="D15" s="858">
        <f ca="1">结果表!H108</f>
        <v>18091</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28194</v>
      </c>
      <c r="C2" s="2" t="s">
        <v>106</v>
      </c>
      <c r="D2" s="199"/>
      <c r="E2" s="199"/>
      <c r="F2" s="199"/>
      <c r="G2" s="199"/>
    </row>
    <row r="3" spans="1:7" s="200" customFormat="1" ht="18" customHeight="1" thickBot="1">
      <c r="A3" s="203" t="s">
        <v>58</v>
      </c>
      <c r="B3" s="204">
        <f ca="1">ROUND(B2*10000/'数据-汇总表'!E3,0)</f>
        <v>1169876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241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241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718</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241</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v>
      </c>
      <c r="D42" s="238"/>
      <c r="E42" s="238"/>
      <c r="F42" s="239"/>
      <c r="G42" s="3662" t="s">
        <v>94</v>
      </c>
    </row>
    <row r="43" spans="1:7" ht="13.5" customHeight="1">
      <c r="A43" s="779" t="s">
        <v>347</v>
      </c>
      <c r="B43" s="215" t="s">
        <v>426</v>
      </c>
      <c r="C43" s="238">
        <f ca="1">ROUND(IF('数据-取费表'!B22&lt;=1,C39*F22*'数据-取费表'!B21/2,C39*(POWER((1+F22),'数据-取费表'!B21/2)-1)),0)</f>
        <v>0</v>
      </c>
      <c r="D43" s="238"/>
      <c r="E43" s="238"/>
      <c r="F43" s="239"/>
      <c r="G43" s="3663"/>
    </row>
    <row r="44" spans="1:7" ht="13.5" customHeight="1">
      <c r="A44" s="779" t="s">
        <v>348</v>
      </c>
      <c r="B44" s="215" t="s">
        <v>428</v>
      </c>
      <c r="C44" s="238">
        <f ca="1">ROUND(IF('数据-取费表'!B22&lt;=1,C40*F22*'数据-取费表'!B21/2,C40*(POWER((1+F22),'数据-取费表'!B21/2)-1)),4)</f>
        <v>2.9999999999999997E-4</v>
      </c>
      <c r="D44" s="238"/>
      <c r="E44" s="238"/>
      <c r="F44" s="239"/>
      <c r="G44" s="3664"/>
    </row>
    <row r="45" spans="1:7" s="214" customFormat="1" ht="13.5" customHeight="1">
      <c r="A45" s="776" t="s">
        <v>341</v>
      </c>
      <c r="B45" s="244" t="s">
        <v>85</v>
      </c>
      <c r="C45" s="245">
        <f>C46</f>
        <v>19</v>
      </c>
      <c r="D45" s="235">
        <f>C47</f>
        <v>4.0000000000000001E-3</v>
      </c>
      <c r="E45" s="236" t="s">
        <v>102</v>
      </c>
      <c r="F45" s="246"/>
      <c r="G45" s="247" t="s">
        <v>434</v>
      </c>
    </row>
    <row r="46" spans="1:7" s="214" customFormat="1" ht="13.5" customHeight="1">
      <c r="A46" s="779" t="s">
        <v>349</v>
      </c>
      <c r="B46" s="248" t="s">
        <v>427</v>
      </c>
      <c r="C46" s="249">
        <f>ROUND((C33+C39)*F27,0)</f>
        <v>19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127</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89</v>
      </c>
      <c r="D51" s="232"/>
      <c r="E51" s="232"/>
      <c r="F51" s="264"/>
      <c r="G51" s="234" t="s">
        <v>37</v>
      </c>
    </row>
    <row r="52" spans="1:7" s="208" customFormat="1" ht="16.5" thickBot="1">
      <c r="A52" s="265" t="s">
        <v>38</v>
      </c>
      <c r="B52" s="266"/>
      <c r="C52" s="267">
        <f ca="1">C31+C51</f>
        <v>28194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4" t="s">
        <v>2840</v>
      </c>
      <c r="B1" s="3794"/>
      <c r="C1" s="3794"/>
      <c r="D1" s="3794"/>
      <c r="E1" s="3794"/>
      <c r="F1" s="3794"/>
      <c r="G1" s="3795"/>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92"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93"/>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6" t="s">
        <v>3182</v>
      </c>
      <c r="B1" s="3796"/>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7" t="s">
        <v>3233</v>
      </c>
      <c r="B1" s="3797"/>
      <c r="C1" s="3797"/>
      <c r="D1" s="3797"/>
      <c r="E1" s="3797"/>
      <c r="F1" s="3798"/>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45432</v>
      </c>
      <c r="B1" s="3209" t="s">
        <v>3370</v>
      </c>
      <c r="C1" s="3210"/>
      <c r="D1" s="3210"/>
      <c r="E1" s="3210"/>
      <c r="F1" s="3210"/>
      <c r="G1" s="3210"/>
      <c r="H1" s="3210"/>
      <c r="I1" s="3210"/>
      <c r="J1" s="3164"/>
      <c r="K1" s="3210" t="s">
        <v>454</v>
      </c>
      <c r="L1" s="3210"/>
      <c r="M1" s="3210"/>
      <c r="N1" s="3210"/>
      <c r="O1" s="3210"/>
      <c r="P1" s="3210"/>
      <c r="Q1" s="3164"/>
      <c r="R1" s="3799" t="s">
        <v>456</v>
      </c>
      <c r="S1" s="3800"/>
      <c r="T1" s="3800"/>
      <c r="U1" s="3800"/>
      <c r="V1" s="3800"/>
      <c r="W1" s="3800"/>
      <c r="X1" s="3164"/>
      <c r="Y1" s="3799" t="s">
        <v>457</v>
      </c>
      <c r="Z1" s="3800"/>
      <c r="AA1" s="3800"/>
      <c r="AB1" s="3800"/>
      <c r="AC1" s="3800"/>
      <c r="AD1" s="3800"/>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6"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799" t="s">
        <v>2828</v>
      </c>
      <c r="S23" s="3800"/>
      <c r="T23" s="3800"/>
      <c r="U23" s="3800"/>
      <c r="V23" s="3800"/>
      <c r="W23" s="3800"/>
      <c r="X23" s="3164"/>
      <c r="Y23" s="3799" t="s">
        <v>2829</v>
      </c>
      <c r="Z23" s="3800"/>
      <c r="AA23" s="3800"/>
      <c r="AB23" s="3800"/>
      <c r="AC23" s="3800"/>
      <c r="AD23" s="3800"/>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45432</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北京市房地产</v>
      </c>
      <c r="B4" s="853">
        <f>项目基本情况!C17</f>
        <v>241</v>
      </c>
      <c r="C4" s="853">
        <f>项目基本情况!C18</f>
        <v>1429.33</v>
      </c>
      <c r="D4" s="853">
        <f ca="1">结果表!D118</f>
        <v>388</v>
      </c>
      <c r="E4" s="853">
        <f ca="1">结果表!E118</f>
        <v>16099</v>
      </c>
      <c r="F4" s="853">
        <f ca="1">结果表!F118</f>
        <v>48</v>
      </c>
      <c r="G4" s="853">
        <f ca="1">结果表!G118</f>
        <v>1992</v>
      </c>
      <c r="H4" s="853">
        <f ca="1">结果表!H118</f>
        <v>436</v>
      </c>
      <c r="I4" s="853">
        <f ca="1">结果表!I118</f>
        <v>18091</v>
      </c>
    </row>
    <row r="5" spans="1:9" ht="30" customHeight="1">
      <c r="A5" s="3486" t="s">
        <v>927</v>
      </c>
      <c r="B5" s="3486"/>
      <c r="C5" s="3486"/>
      <c r="D5" s="3486" t="str">
        <f ca="1">结果表!D119</f>
        <v>叁佰捌拾捌万元整</v>
      </c>
      <c r="E5" s="3486"/>
      <c r="F5" s="3486" t="str">
        <f ca="1">结果表!F119</f>
        <v>肆拾捌万元整</v>
      </c>
      <c r="G5" s="3486"/>
      <c r="H5" s="3486" t="str">
        <f ca="1">结果表!H119</f>
        <v>肆佰叁拾陆万元整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436</v>
      </c>
      <c r="E8" s="3485"/>
      <c r="F8" s="3485"/>
      <c r="G8" s="3485"/>
      <c r="H8" s="3485"/>
      <c r="I8" s="3485"/>
    </row>
    <row r="9" spans="1:9" ht="15">
      <c r="A9" s="3486" t="s">
        <v>927</v>
      </c>
      <c r="B9" s="3486"/>
      <c r="C9" s="3486"/>
      <c r="D9" s="3486" t="str">
        <f ca="1">结果表!D123</f>
        <v>肆佰叁拾陆万元整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45434</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2157</v>
      </c>
      <c r="B17" s="3509"/>
      <c r="C17" s="3509"/>
      <c r="D17" s="3509"/>
      <c r="E17" s="3509"/>
      <c r="F17" s="3509"/>
      <c r="G17" s="3509"/>
      <c r="H17" s="3509"/>
    </row>
    <row r="18" spans="1:8" ht="24" customHeight="1">
      <c r="A18" s="3510" t="s">
        <v>2158</v>
      </c>
      <c r="B18" s="3510"/>
      <c r="C18" s="3510"/>
      <c r="D18" s="2342"/>
      <c r="E18" s="3511" t="s">
        <v>2159</v>
      </c>
      <c r="F18" s="3510"/>
      <c r="G18" s="3510"/>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项目信息</vt:lpstr>
      <vt:lpstr>典型户型修正</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2024-05-22T02:23:16Z</dcterms:modified>
</cp:coreProperties>
</file>