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1730" tabRatio="899" firstSheet="9"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大厦及北里" sheetId="80" r:id="rId14"/>
    <sheet name="广场" sheetId="78" state="hidden" r:id="rId15"/>
    <sheet name="电影院" sheetId="79" state="hidden"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结果表合并" sheetId="81" r:id="rId48"/>
    <sheet name="Sheet1" sheetId="82"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11">'数据-基础表'!$A$1:$P$16</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V19" i="1" l="1"/>
  <c r="T19" i="1"/>
  <c r="P19" i="1" l="1"/>
  <c r="L10" i="68"/>
  <c r="L7" i="68"/>
  <c r="M22" i="68"/>
  <c r="M30" i="68"/>
  <c r="C6" i="68" s="1"/>
  <c r="J45" i="15" l="1"/>
  <c r="C3" i="81" l="1"/>
  <c r="B3" i="81"/>
  <c r="C2" i="81"/>
  <c r="B2" i="81"/>
  <c r="F22" i="82" l="1"/>
  <c r="F21" i="82"/>
  <c r="F8" i="82"/>
  <c r="J7" i="68"/>
  <c r="C15" i="74" l="1"/>
  <c r="C4" i="81" s="1"/>
  <c r="C5" i="81" s="1"/>
  <c r="B15" i="74"/>
  <c r="B4" i="81" s="1"/>
  <c r="B5" i="81" s="1"/>
  <c r="K20" i="80" l="1"/>
  <c r="J20" i="80"/>
  <c r="I20" i="80"/>
  <c r="U20" i="1"/>
  <c r="R16" i="80" l="1"/>
  <c r="S16" i="80"/>
  <c r="S15" i="80"/>
  <c r="R15" i="80"/>
  <c r="Q15" i="80"/>
  <c r="P15" i="80"/>
  <c r="F52" i="80" l="1"/>
  <c r="H52" i="80"/>
  <c r="I15" i="3" l="1"/>
  <c r="K15" i="3"/>
  <c r="H30" i="68" l="1"/>
  <c r="K10" i="68"/>
  <c r="K7" i="68"/>
  <c r="L30" i="68"/>
  <c r="G19" i="6" l="1"/>
  <c r="L46" i="80"/>
  <c r="L45" i="80"/>
  <c r="L29" i="68"/>
  <c r="L25" i="68"/>
  <c r="L26" i="68"/>
  <c r="L27" i="68"/>
  <c r="L28" i="68"/>
  <c r="L24" i="68"/>
  <c r="L23" i="68"/>
  <c r="L22" i="68"/>
  <c r="H22" i="68"/>
  <c r="L9" i="68"/>
  <c r="L8" i="68"/>
  <c r="I13" i="3" l="1"/>
  <c r="J51" i="80"/>
  <c r="B21" i="1" l="1"/>
  <c r="N4" i="81" l="1"/>
  <c r="N3" i="81"/>
  <c r="M4" i="81"/>
  <c r="M3" i="81"/>
  <c r="J61" i="80"/>
  <c r="N6" i="1" l="1"/>
  <c r="G34" i="80" l="1"/>
  <c r="I16" i="3"/>
  <c r="L48" i="80" l="1"/>
  <c r="G41" i="80" l="1"/>
  <c r="G48" i="80" s="1"/>
  <c r="F46" i="80"/>
  <c r="F47" i="80"/>
  <c r="F48" i="80"/>
  <c r="F49" i="80"/>
  <c r="F42" i="80"/>
  <c r="F41" i="80"/>
  <c r="F40" i="80"/>
  <c r="F43" i="80"/>
  <c r="F44" i="80"/>
  <c r="F45" i="80"/>
  <c r="F39" i="80"/>
  <c r="F36" i="80"/>
  <c r="G45" i="80"/>
  <c r="H45" i="80" s="1"/>
  <c r="G40" i="80"/>
  <c r="G39" i="80"/>
  <c r="G36" i="80"/>
  <c r="G30" i="80"/>
  <c r="H36" i="80" l="1"/>
  <c r="G46" i="80"/>
  <c r="H46" i="80" s="1"/>
  <c r="H39" i="80"/>
  <c r="G42" i="80"/>
  <c r="H42" i="80" s="1"/>
  <c r="H40" i="80"/>
  <c r="G47" i="80"/>
  <c r="H47" i="80" s="1"/>
  <c r="G44" i="80"/>
  <c r="H44" i="80" s="1"/>
  <c r="H48" i="80"/>
  <c r="G43" i="80"/>
  <c r="H43" i="80" s="1"/>
  <c r="G49" i="80"/>
  <c r="H49" i="80" s="1"/>
  <c r="H41" i="80"/>
  <c r="F20" i="80"/>
  <c r="K14" i="3"/>
  <c r="T20" i="1" s="1"/>
  <c r="F19" i="6"/>
  <c r="Q16" i="80" l="1"/>
  <c r="P16" i="80"/>
  <c r="A3" i="3"/>
  <c r="E13" i="4"/>
  <c r="T21" i="1" l="1"/>
  <c r="U21" i="1" s="1"/>
  <c r="U6" i="1" s="1"/>
  <c r="D14" i="9" l="1"/>
  <c r="F13" i="80" l="1"/>
  <c r="F14" i="80"/>
  <c r="F12" i="80"/>
  <c r="F10" i="80"/>
  <c r="G12" i="80"/>
  <c r="G11" i="80"/>
  <c r="F11" i="80"/>
  <c r="Y6" i="1"/>
  <c r="F15" i="80" l="1"/>
  <c r="C68" i="80"/>
  <c r="D67" i="80"/>
  <c r="D66" i="80"/>
  <c r="F57" i="80"/>
  <c r="E52" i="80"/>
  <c r="G31" i="80"/>
  <c r="G29" i="80" s="1"/>
  <c r="H29" i="80" s="1"/>
  <c r="E15" i="80"/>
  <c r="D68" i="80" l="1"/>
  <c r="H18" i="80"/>
  <c r="G15" i="80"/>
  <c r="B18" i="79"/>
  <c r="F58" i="78" l="1"/>
  <c r="I10" i="78"/>
  <c r="F64" i="78"/>
  <c r="F63" i="78"/>
  <c r="F62" i="78"/>
  <c r="C124" i="78"/>
  <c r="C172" i="78"/>
  <c r="F61" i="78" s="1"/>
  <c r="C160" i="78"/>
  <c r="F60" i="78" s="1"/>
  <c r="C148" i="78"/>
  <c r="C136" i="78"/>
  <c r="F11" i="78"/>
  <c r="F10" i="78"/>
  <c r="F21" i="78" s="1"/>
  <c r="I14" i="78"/>
  <c r="I16" i="78" s="1"/>
  <c r="F59" i="78" l="1"/>
  <c r="C190" i="78"/>
  <c r="F65" i="78"/>
  <c r="F9" i="78"/>
  <c r="F20" i="78" s="1"/>
  <c r="F22" i="78" s="1"/>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s="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K9" i="1"/>
  <c r="M9" i="1" s="1"/>
  <c r="AE9" i="1"/>
  <c r="D93" i="9"/>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T10" i="1" s="1"/>
  <c r="R10" i="1"/>
  <c r="B10" i="1"/>
  <c r="E10" i="1"/>
  <c r="AZ80" i="3"/>
  <c r="AZ84" i="3"/>
  <c r="AZ88" i="3"/>
  <c r="AZ107" i="3"/>
  <c r="AZ111" i="3"/>
  <c r="K12" i="1"/>
  <c r="M12" i="1" s="1"/>
  <c r="S13" i="1"/>
  <c r="R13" i="1"/>
  <c r="S11" i="1"/>
  <c r="T11" i="1" s="1"/>
  <c r="R11" i="1"/>
  <c r="S9" i="1"/>
  <c r="T9" i="1" s="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BL17" i="3"/>
  <c r="AZ17" i="3"/>
  <c r="BL13" i="3"/>
  <c r="J56" i="9"/>
  <c r="J57" i="9" s="1"/>
  <c r="J59" i="9" s="1"/>
  <c r="J61" i="9" s="1"/>
  <c r="A24" i="51"/>
  <c r="B18" i="72" s="1"/>
  <c r="U29" i="34"/>
  <c r="E5" i="6"/>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52" i="43"/>
  <c r="B60" i="43"/>
  <c r="B63" i="43"/>
  <c r="B67" i="43"/>
  <c r="D23" i="15"/>
  <c r="D22" i="15"/>
  <c r="E4" i="4"/>
  <c r="B5" i="62" s="1"/>
  <c r="B73" i="72" s="1"/>
  <c r="C4" i="4"/>
  <c r="F30" i="11"/>
  <c r="C48" i="11" s="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E41" i="43"/>
  <c r="C41" i="43" s="1"/>
  <c r="I59" i="34"/>
  <c r="J59" i="34" s="1"/>
  <c r="D15" i="71"/>
  <c r="T17" i="71"/>
  <c r="D16" i="71"/>
  <c r="D17" i="71"/>
  <c r="U17" i="71"/>
  <c r="F5" i="73"/>
  <c r="M6" i="67"/>
  <c r="F43" i="67"/>
  <c r="J15" i="67"/>
  <c r="D4" i="73"/>
  <c r="AO9" i="1"/>
  <c r="E11" i="76"/>
  <c r="M8" i="15"/>
  <c r="F26" i="67"/>
  <c r="E13" i="76"/>
  <c r="L48" i="15"/>
  <c r="D5" i="73"/>
  <c r="B13" i="76"/>
  <c r="AO11" i="1"/>
  <c r="F37" i="67"/>
  <c r="F6" i="15"/>
  <c r="F8" i="15"/>
  <c r="E12" i="76"/>
  <c r="F16" i="67"/>
  <c r="D2" i="37"/>
  <c r="F42" i="15"/>
  <c r="F3" i="73"/>
  <c r="C76" i="15"/>
  <c r="E9" i="76"/>
  <c r="M22" i="67"/>
  <c r="E10" i="76"/>
  <c r="M27" i="15"/>
  <c r="M23" i="67"/>
  <c r="AO8" i="1"/>
  <c r="AO7" i="1"/>
  <c r="J15" i="15"/>
  <c r="B8" i="76"/>
  <c r="F7" i="73"/>
  <c r="L47" i="15"/>
  <c r="E7" i="76"/>
  <c r="D2" i="21"/>
  <c r="M27" i="67"/>
  <c r="M24" i="67"/>
  <c r="F6" i="67"/>
  <c r="M6" i="15"/>
  <c r="F20" i="31"/>
  <c r="D6" i="73"/>
  <c r="AO10" i="1"/>
  <c r="M26" i="15"/>
  <c r="F7" i="15"/>
  <c r="F13" i="67"/>
  <c r="F13" i="15"/>
  <c r="M23" i="15"/>
  <c r="F6" i="73"/>
  <c r="F42" i="67"/>
  <c r="AO13" i="1"/>
  <c r="M9" i="67"/>
  <c r="D2" i="33"/>
  <c r="D3" i="73"/>
  <c r="F40" i="67"/>
  <c r="F38" i="67"/>
  <c r="F41" i="67"/>
  <c r="E2" i="68"/>
  <c r="B7" i="76"/>
  <c r="F40" i="15"/>
  <c r="F35" i="67"/>
  <c r="M8" i="67"/>
  <c r="C76" i="67"/>
  <c r="F9" i="67"/>
  <c r="D2" i="34"/>
  <c r="M22" i="15"/>
  <c r="M21" i="67"/>
  <c r="AO12" i="1"/>
  <c r="L48" i="67"/>
  <c r="E2" i="69"/>
  <c r="B10" i="76"/>
  <c r="F7" i="67"/>
  <c r="M29" i="15"/>
  <c r="D2" i="36"/>
  <c r="B12" i="76"/>
  <c r="F4" i="73"/>
  <c r="M28" i="15"/>
  <c r="F37" i="15"/>
  <c r="M24" i="15"/>
  <c r="F43" i="15"/>
  <c r="M9" i="15"/>
  <c r="L47" i="67"/>
  <c r="F16" i="15"/>
  <c r="F26" i="15"/>
  <c r="F36" i="67"/>
  <c r="E8" i="76"/>
  <c r="D2" i="35"/>
  <c r="M26" i="67"/>
  <c r="M29" i="67"/>
  <c r="F36" i="15"/>
  <c r="B9" i="76"/>
  <c r="M28" i="67"/>
  <c r="B11" i="76"/>
  <c r="F9" i="15"/>
  <c r="D7" i="73"/>
  <c r="F38" i="15"/>
  <c r="F8" i="67"/>
  <c r="C13" i="71" l="1"/>
  <c r="D14" i="71"/>
  <c r="E12" i="71"/>
  <c r="E11" i="71" s="1"/>
  <c r="E10" i="71" s="1"/>
  <c r="E9" i="71" s="1"/>
  <c r="V13" i="71"/>
  <c r="BL586" i="3"/>
  <c r="AZ586" i="3" s="1"/>
  <c r="BA551" i="3"/>
  <c r="AZ551" i="3" s="1"/>
  <c r="BL550" i="3"/>
  <c r="BA550" i="3"/>
  <c r="BL548" i="3"/>
  <c r="AZ548" i="3" s="1"/>
  <c r="I4" i="6"/>
  <c r="G3" i="43" s="1"/>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AR12" i="1"/>
  <c r="AZ13" i="3"/>
  <c r="BL15" i="3"/>
  <c r="AZ15" i="3" s="1"/>
  <c r="AZ14" i="3"/>
  <c r="BB5" i="3"/>
  <c r="E8" i="6" s="1"/>
  <c r="L27" i="6"/>
  <c r="G29" i="6"/>
  <c r="G30" i="6" s="1"/>
  <c r="G31" i="6" s="1"/>
  <c r="F28" i="6"/>
  <c r="E28" i="6" s="1"/>
  <c r="K14" i="1" s="1"/>
  <c r="M14" i="1" s="1"/>
  <c r="BL5" i="3"/>
  <c r="F29" i="6"/>
  <c r="F30" i="6" s="1"/>
  <c r="D9" i="11"/>
  <c r="C9" i="11" s="1"/>
  <c r="D9" i="69"/>
  <c r="C9" i="69" s="1"/>
  <c r="G5" i="3"/>
  <c r="B3" i="3" s="1"/>
  <c r="E13" i="3" s="1"/>
  <c r="AR9" i="1"/>
  <c r="AQ9" i="1"/>
  <c r="AQ11" i="1"/>
  <c r="AR11" i="1"/>
  <c r="AR13" i="1"/>
  <c r="AQ13" i="1"/>
  <c r="T13" i="1"/>
  <c r="AQ10" i="1"/>
  <c r="AR10" i="1"/>
  <c r="C36" i="69"/>
  <c r="AQ8" i="1"/>
  <c r="Q16" i="1"/>
  <c r="F27" i="69" s="1"/>
  <c r="C47" i="69" s="1"/>
  <c r="D45" i="69" s="1"/>
  <c r="H82" i="43"/>
  <c r="H87" i="43"/>
  <c r="H86" i="43"/>
  <c r="P61" i="15"/>
  <c r="B55" i="43"/>
  <c r="B65" i="43"/>
  <c r="C21" i="39"/>
  <c r="C23" i="40"/>
  <c r="C15" i="40"/>
  <c r="B56" i="43"/>
  <c r="B49" i="43"/>
  <c r="B54" i="43"/>
  <c r="C19" i="39"/>
  <c r="C15" i="39"/>
  <c r="C27" i="39"/>
  <c r="C29" i="39"/>
  <c r="B66" i="43"/>
  <c r="C92" i="9"/>
  <c r="C94" i="9"/>
  <c r="C5" i="11"/>
  <c r="F30" i="69"/>
  <c r="F48" i="69" s="1"/>
  <c r="D68" i="9"/>
  <c r="M18" i="15"/>
  <c r="F52" i="9"/>
  <c r="C30" i="11"/>
  <c r="F32" i="15"/>
  <c r="F60" i="15" s="1"/>
  <c r="F32" i="67"/>
  <c r="F60" i="67" s="1"/>
  <c r="F28" i="67"/>
  <c r="C28" i="67" s="1"/>
  <c r="C30" i="69"/>
  <c r="F54" i="9"/>
  <c r="F28" i="15"/>
  <c r="C28" i="15" s="1"/>
  <c r="M18" i="67"/>
  <c r="F31" i="12"/>
  <c r="C31" i="12" s="1"/>
  <c r="F30" i="68"/>
  <c r="F53" i="9"/>
  <c r="C21" i="69"/>
  <c r="D22" i="67"/>
  <c r="AR7" i="1"/>
  <c r="AQ7" i="1"/>
  <c r="D9" i="68"/>
  <c r="C9" i="68" s="1"/>
  <c r="D19" i="12"/>
  <c r="C19" i="12" s="1"/>
  <c r="E358" i="3"/>
  <c r="O14" i="1"/>
  <c r="P14" i="1" s="1"/>
  <c r="O11" i="1"/>
  <c r="P11" i="1" s="1"/>
  <c r="O6" i="1"/>
  <c r="P6" i="1" s="1"/>
  <c r="O9" i="1"/>
  <c r="P9" i="1" s="1"/>
  <c r="O8" i="1"/>
  <c r="P8" i="1" s="1"/>
  <c r="H16" i="1"/>
  <c r="M7" i="1"/>
  <c r="O12" i="1"/>
  <c r="P12"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H75" i="43"/>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C16" i="15"/>
  <c r="C14" i="67"/>
  <c r="G1" i="73"/>
  <c r="B12" i="71" l="1"/>
  <c r="B11" i="71" s="1"/>
  <c r="B10" i="71" s="1"/>
  <c r="B9" i="71" s="1"/>
  <c r="S13" i="71"/>
  <c r="AZ550" i="3"/>
  <c r="BA5" i="3"/>
  <c r="E8" i="71"/>
  <c r="E7" i="71" s="1"/>
  <c r="E6" i="71" s="1"/>
  <c r="E5" i="71" s="1"/>
  <c r="V9" i="71"/>
  <c r="C12" i="71"/>
  <c r="T13" i="71"/>
  <c r="AZ5" i="3"/>
  <c r="E3" i="6" s="1"/>
  <c r="E508" i="3"/>
  <c r="E280" i="3"/>
  <c r="E130" i="3"/>
  <c r="E12" i="6"/>
  <c r="AA6" i="3"/>
  <c r="E343" i="3"/>
  <c r="E407" i="3"/>
  <c r="E569" i="3"/>
  <c r="E246" i="3"/>
  <c r="E399" i="3"/>
  <c r="E347" i="3"/>
  <c r="E305" i="3"/>
  <c r="E530" i="3"/>
  <c r="E294" i="3"/>
  <c r="E551" i="3"/>
  <c r="E229" i="3"/>
  <c r="E239" i="3"/>
  <c r="E293" i="3"/>
  <c r="E336" i="3"/>
  <c r="X6" i="3"/>
  <c r="E583" i="3"/>
  <c r="E328" i="3"/>
  <c r="E426" i="3"/>
  <c r="E153" i="3"/>
  <c r="E501" i="3"/>
  <c r="E217" i="3"/>
  <c r="E230" i="3"/>
  <c r="E320" i="3"/>
  <c r="V6" i="3"/>
  <c r="E559" i="3"/>
  <c r="E151" i="3"/>
  <c r="E396" i="3"/>
  <c r="E516" i="3"/>
  <c r="E183" i="3"/>
  <c r="E550" i="3"/>
  <c r="E261" i="3"/>
  <c r="C34" i="69"/>
  <c r="C35" i="69" s="1"/>
  <c r="F27" i="68"/>
  <c r="C29" i="68" s="1"/>
  <c r="D27" i="68" s="1"/>
  <c r="E124" i="3"/>
  <c r="E227" i="3"/>
  <c r="E352" i="3"/>
  <c r="E461" i="3"/>
  <c r="E510" i="3"/>
  <c r="E567" i="3"/>
  <c r="E545" i="3"/>
  <c r="E539" i="3"/>
  <c r="E329" i="3"/>
  <c r="AJ6" i="3"/>
  <c r="N6" i="3"/>
  <c r="E322" i="3"/>
  <c r="E282" i="3"/>
  <c r="E268" i="3"/>
  <c r="E553" i="3"/>
  <c r="E526" i="3"/>
  <c r="E366" i="3"/>
  <c r="E125" i="3"/>
  <c r="E189" i="3"/>
  <c r="E215" i="3"/>
  <c r="E335" i="3"/>
  <c r="E387" i="3"/>
  <c r="AB6" i="3"/>
  <c r="M6" i="3"/>
  <c r="E570" i="3"/>
  <c r="E514" i="3"/>
  <c r="E311" i="3"/>
  <c r="E201" i="3"/>
  <c r="E247" i="3"/>
  <c r="E431" i="3"/>
  <c r="E579" i="3"/>
  <c r="E509" i="3"/>
  <c r="E535" i="3"/>
  <c r="E361" i="3"/>
  <c r="E528" i="3"/>
  <c r="E11" i="6"/>
  <c r="E14" i="6"/>
  <c r="E13" i="6"/>
  <c r="E62" i="39" s="1"/>
  <c r="E10" i="6"/>
  <c r="E15" i="6"/>
  <c r="C29" i="69"/>
  <c r="D27" i="69" s="1"/>
  <c r="F45" i="69"/>
  <c r="E56" i="39"/>
  <c r="F27" i="6"/>
  <c r="E51" i="40"/>
  <c r="E58" i="40"/>
  <c r="F27" i="11"/>
  <c r="C47" i="11" s="1"/>
  <c r="D45" i="11" s="1"/>
  <c r="E29" i="6"/>
  <c r="E319" i="3"/>
  <c r="E175" i="3"/>
  <c r="E53"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213" i="3"/>
  <c r="E565" i="3"/>
  <c r="E304" i="3"/>
  <c r="E237" i="3"/>
  <c r="E445" i="3"/>
  <c r="E260" i="3"/>
  <c r="E172" i="3"/>
  <c r="E395" i="3"/>
  <c r="E563" i="3"/>
  <c r="E415" i="3"/>
  <c r="E278" i="3"/>
  <c r="E114" i="3"/>
  <c r="E69" i="3"/>
  <c r="F28" i="12"/>
  <c r="C29" i="12" s="1"/>
  <c r="D28" i="12" s="1"/>
  <c r="E205" i="3"/>
  <c r="E128"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397" i="3"/>
  <c r="E568" i="3"/>
  <c r="I6" i="3"/>
  <c r="E536" i="3"/>
  <c r="E549" i="3"/>
  <c r="E453" i="3"/>
  <c r="E368" i="3"/>
  <c r="E244" i="3"/>
  <c r="E196"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16" i="3"/>
  <c r="E223" i="3"/>
  <c r="E369" i="3"/>
  <c r="T6" i="3"/>
  <c r="E456" i="3"/>
  <c r="E512" i="3"/>
  <c r="E432" i="3"/>
  <c r="E477" i="3"/>
  <c r="E558" i="3"/>
  <c r="E557" i="3"/>
  <c r="E581" i="3"/>
  <c r="E403" i="3"/>
  <c r="E476" i="3"/>
  <c r="E404" i="3"/>
  <c r="E28" i="3"/>
  <c r="E88" i="3"/>
  <c r="E70" i="3"/>
  <c r="E121" i="3"/>
  <c r="E182" i="3"/>
  <c r="E186" i="3"/>
  <c r="E272" i="3"/>
  <c r="E210" i="3"/>
  <c r="E291" i="3"/>
  <c r="E377" i="3"/>
  <c r="E334" i="3"/>
  <c r="E572" i="3"/>
  <c r="E44" i="3"/>
  <c r="E29" i="3"/>
  <c r="E441" i="3"/>
  <c r="E425" i="3"/>
  <c r="E64" i="3"/>
  <c r="E103" i="3"/>
  <c r="E200" i="3"/>
  <c r="E249" i="3"/>
  <c r="E371" i="3"/>
  <c r="E354" i="3"/>
  <c r="E584" i="3"/>
  <c r="E84" i="3"/>
  <c r="E67" i="3"/>
  <c r="E33" i="3"/>
  <c r="E144" i="3"/>
  <c r="E184" i="3"/>
  <c r="E233" i="3"/>
  <c r="E341" i="3"/>
  <c r="Y6" i="3"/>
  <c r="E68" i="3"/>
  <c r="E63" i="3"/>
  <c r="E154" i="3"/>
  <c r="E179" i="3"/>
  <c r="E222" i="3"/>
  <c r="E323" i="3"/>
  <c r="E373" i="3"/>
  <c r="E82" i="3"/>
  <c r="E165" i="3"/>
  <c r="E511" i="3"/>
  <c r="AK6" i="3"/>
  <c r="E306" i="3"/>
  <c r="E262" i="3"/>
  <c r="E134" i="3"/>
  <c r="E91" i="3"/>
  <c r="E180" i="3"/>
  <c r="E85" i="3"/>
  <c r="E238" i="3"/>
  <c r="E116" i="3"/>
  <c r="E105" i="3"/>
  <c r="E393" i="3"/>
  <c r="E493" i="3"/>
  <c r="E564" i="3"/>
  <c r="E543" i="3"/>
  <c r="E427" i="3"/>
  <c r="E486" i="3"/>
  <c r="E507" i="3"/>
  <c r="E422"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4" i="3"/>
  <c r="E434" i="3"/>
  <c r="E296" i="3"/>
  <c r="E136" i="3"/>
  <c r="E254" i="3"/>
  <c r="E221" i="3"/>
  <c r="E140" i="3"/>
  <c r="E197" i="3"/>
  <c r="E173" i="3"/>
  <c r="E525" i="3"/>
  <c r="E534" i="3"/>
  <c r="E405" i="3"/>
  <c r="E469" i="3"/>
  <c r="E400" i="3"/>
  <c r="E443" i="3"/>
  <c r="E345" i="3"/>
  <c r="E367" i="3"/>
  <c r="E505" i="3"/>
  <c r="E547" i="3"/>
  <c r="AS6" i="3"/>
  <c r="E531" i="3"/>
  <c r="E444" i="3"/>
  <c r="E489" i="3"/>
  <c r="E546" i="3"/>
  <c r="E447" i="3"/>
  <c r="E71" i="3"/>
  <c r="E27" i="3"/>
  <c r="E92" i="3"/>
  <c r="E162" i="3"/>
  <c r="E126" i="3"/>
  <c r="E166" i="3"/>
  <c r="E211" i="3"/>
  <c r="E295" i="3"/>
  <c r="E273" i="3"/>
  <c r="E316" i="3"/>
  <c r="E331" i="3"/>
  <c r="E317" i="3"/>
  <c r="E384" i="3"/>
  <c r="AM6" i="3"/>
  <c r="E30" i="3"/>
  <c r="E109" i="3"/>
  <c r="E480" i="3"/>
  <c r="E484" i="3"/>
  <c r="E467" i="3"/>
  <c r="E46" i="3"/>
  <c r="E160" i="3"/>
  <c r="E142" i="3"/>
  <c r="E267" i="3"/>
  <c r="E300" i="3"/>
  <c r="E310" i="3"/>
  <c r="E492" i="3"/>
  <c r="E23" i="3"/>
  <c r="E66" i="3"/>
  <c r="E24" i="3"/>
  <c r="E48" i="3"/>
  <c r="E87" i="3"/>
  <c r="E127" i="3"/>
  <c r="E250" i="3"/>
  <c r="E284" i="3"/>
  <c r="E355" i="3"/>
  <c r="E381" i="3"/>
  <c r="E51" i="3"/>
  <c r="E19" i="3"/>
  <c r="E81" i="3"/>
  <c r="E118" i="3"/>
  <c r="E264" i="3"/>
  <c r="E283" i="3"/>
  <c r="E309" i="3"/>
  <c r="E513" i="3"/>
  <c r="E21" i="3"/>
  <c r="K15" i="1"/>
  <c r="K16" i="1" s="1"/>
  <c r="E30" i="6"/>
  <c r="H6" i="3"/>
  <c r="C48" i="69"/>
  <c r="F48" i="68"/>
  <c r="C30" i="68"/>
  <c r="C48" i="68"/>
  <c r="C29" i="11"/>
  <c r="D27" i="11" s="1"/>
  <c r="J10" i="40"/>
  <c r="W10" i="40" s="1"/>
  <c r="F31" i="6"/>
  <c r="E27" i="6"/>
  <c r="H10" i="39"/>
  <c r="AB10" i="39" s="1"/>
  <c r="F10" i="40"/>
  <c r="AA10" i="40" s="1"/>
  <c r="E57" i="40"/>
  <c r="E61" i="39"/>
  <c r="J10" i="39"/>
  <c r="AC10" i="39" s="1"/>
  <c r="H10" i="40"/>
  <c r="AB10" i="40" s="1"/>
  <c r="O7" i="1"/>
  <c r="O16" i="1" s="1"/>
  <c r="M16" i="1"/>
  <c r="D3" i="34"/>
  <c r="D3" i="33"/>
  <c r="D19" i="11"/>
  <c r="C19" i="11" s="1"/>
  <c r="C17" i="4"/>
  <c r="B4" i="52" s="1"/>
  <c r="B43" i="72" s="1"/>
  <c r="L18" i="9"/>
  <c r="D3" i="37"/>
  <c r="D3" i="21"/>
  <c r="E6" i="6"/>
  <c r="D14" i="12"/>
  <c r="M18" i="9"/>
  <c r="B118" i="9" s="1"/>
  <c r="B14" i="74" s="1"/>
  <c r="D37" i="11"/>
  <c r="C37" i="11" s="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B1" i="74" l="1"/>
  <c r="C7" i="74" s="1"/>
  <c r="B30" i="74"/>
  <c r="D12" i="71"/>
  <c r="C11" i="71"/>
  <c r="B8" i="71"/>
  <c r="B7" i="71" s="1"/>
  <c r="B6" i="71" s="1"/>
  <c r="B5" i="71" s="1"/>
  <c r="S9" i="71"/>
  <c r="U10" i="40"/>
  <c r="C47" i="68"/>
  <c r="D45" i="68" s="1"/>
  <c r="AY6" i="3"/>
  <c r="AY103" i="3" s="1"/>
  <c r="F45" i="68"/>
  <c r="AC10" i="40"/>
  <c r="C38" i="69"/>
  <c r="E16" i="6"/>
  <c r="E60" i="39"/>
  <c r="E56" i="40"/>
  <c r="E63" i="39"/>
  <c r="E59" i="40"/>
  <c r="E60" i="40"/>
  <c r="E64" i="39"/>
  <c r="U10" i="39"/>
  <c r="W10" i="39"/>
  <c r="AY196" i="3"/>
  <c r="AY74" i="3"/>
  <c r="AY204" i="3"/>
  <c r="AY363" i="3"/>
  <c r="AY412" i="3"/>
  <c r="AY144" i="3"/>
  <c r="AY253" i="3"/>
  <c r="AY529" i="3"/>
  <c r="AY390" i="3"/>
  <c r="AY447" i="3"/>
  <c r="AY574" i="3"/>
  <c r="AY85" i="3"/>
  <c r="AY25" i="3"/>
  <c r="AY157" i="3"/>
  <c r="AY271" i="3"/>
  <c r="AY211" i="3"/>
  <c r="BI6" i="3"/>
  <c r="AY186" i="3"/>
  <c r="AY243" i="3"/>
  <c r="AY325" i="3"/>
  <c r="AY464" i="3"/>
  <c r="AY31" i="3"/>
  <c r="AY350" i="3"/>
  <c r="AY124" i="3"/>
  <c r="AY43" i="3"/>
  <c r="AY436" i="3"/>
  <c r="AY69" i="3"/>
  <c r="AY141" i="3"/>
  <c r="AY384" i="3"/>
  <c r="AY181" i="3"/>
  <c r="AY309" i="3"/>
  <c r="AY406" i="3"/>
  <c r="AY572" i="3"/>
  <c r="AY543" i="3"/>
  <c r="AY81" i="3"/>
  <c r="AY176" i="3"/>
  <c r="AY409" i="3"/>
  <c r="AY463" i="3"/>
  <c r="AY92" i="3"/>
  <c r="AY165" i="3"/>
  <c r="AY219" i="3"/>
  <c r="AY73" i="3"/>
  <c r="AY145" i="3"/>
  <c r="AY388" i="3"/>
  <c r="AY316" i="3"/>
  <c r="AY430" i="3"/>
  <c r="AY585" i="3"/>
  <c r="BG6" i="3"/>
  <c r="AY101" i="3"/>
  <c r="AY158" i="3"/>
  <c r="AY23" i="3"/>
  <c r="AY428" i="3"/>
  <c r="AY465" i="3"/>
  <c r="AY108" i="3"/>
  <c r="AY138" i="3"/>
  <c r="AY214" i="3"/>
  <c r="AY24" i="3"/>
  <c r="AY349" i="3"/>
  <c r="AY427" i="3"/>
  <c r="AY584" i="3"/>
  <c r="AY153"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7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M19" i="9" s="1"/>
  <c r="C118" i="9" s="1"/>
  <c r="C14" i="74" s="1"/>
  <c r="B2" i="74" s="1"/>
  <c r="AY499" i="3"/>
  <c r="AY579" i="3"/>
  <c r="AY423" i="3"/>
  <c r="AY410" i="3"/>
  <c r="AY442" i="3"/>
  <c r="AY453" i="3"/>
  <c r="AY484" i="3"/>
  <c r="AY487" i="3"/>
  <c r="AY328" i="3"/>
  <c r="AY313" i="3"/>
  <c r="AY345" i="3"/>
  <c r="AY369" i="3"/>
  <c r="AY223" i="3"/>
  <c r="AY266" i="3"/>
  <c r="AY282" i="3"/>
  <c r="AY122" i="3"/>
  <c r="AY37" i="3"/>
  <c r="AY514" i="3"/>
  <c r="AY546" i="3"/>
  <c r="AY581" i="3"/>
  <c r="AY457" i="3"/>
  <c r="AY317" i="3"/>
  <c r="AY274" i="3"/>
  <c r="AY197" i="3"/>
  <c r="BJ6" i="3"/>
  <c r="AY392" i="3"/>
  <c r="AY263" i="3"/>
  <c r="AY149" i="3"/>
  <c r="AY206" i="3"/>
  <c r="AY77" i="3"/>
  <c r="AY569" i="3"/>
  <c r="AY452" i="3"/>
  <c r="AY395" i="3"/>
  <c r="AY106" i="3"/>
  <c r="AY268" i="3"/>
  <c r="AY155" i="3"/>
  <c r="AY567" i="3"/>
  <c r="AY583" i="3"/>
  <c r="AY15" i="3"/>
  <c r="AY413" i="3"/>
  <c r="AY432" i="3"/>
  <c r="AY474" i="3"/>
  <c r="AY322" i="3"/>
  <c r="AY339"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519" i="3"/>
  <c r="BM6" i="3"/>
  <c r="AY332" i="3"/>
  <c r="AY177" i="3"/>
  <c r="AY381" i="3"/>
  <c r="AY118" i="3"/>
  <c r="AY45" i="3"/>
  <c r="AY433" i="3"/>
  <c r="AY180" i="3"/>
  <c r="AY59" i="3"/>
  <c r="AY169" i="3"/>
  <c r="AY65" i="3"/>
  <c r="AY501" i="3"/>
  <c r="AY534" i="3"/>
  <c r="AY398" i="3"/>
  <c r="AY475" i="3"/>
  <c r="AY353" i="3"/>
  <c r="AY295" i="3"/>
  <c r="AY56" i="3"/>
  <c r="AY360" i="3"/>
  <c r="AY230" i="3"/>
  <c r="AY283" i="3"/>
  <c r="AY154" i="3"/>
  <c r="AY44" i="3"/>
  <c r="AY97" i="3"/>
  <c r="AY549" i="3"/>
  <c r="AY310" i="3"/>
  <c r="AY260" i="3"/>
  <c r="AY470" i="3"/>
  <c r="AY276" i="3"/>
  <c r="AY66" i="3"/>
  <c r="AY32" i="3"/>
  <c r="AY112" i="3"/>
  <c r="AY556" i="3"/>
  <c r="AY559" i="3"/>
  <c r="AY527" i="3"/>
  <c r="AY516" i="3"/>
  <c r="AY403" i="3"/>
  <c r="AY422" i="3"/>
  <c r="AY480" i="3"/>
  <c r="AY341" i="3"/>
  <c r="AY275" i="3"/>
  <c r="AY29" i="3"/>
  <c r="AY507" i="3"/>
  <c r="AY227" i="3"/>
  <c r="AY286" i="3"/>
  <c r="AY173" i="3"/>
  <c r="AY20" i="3"/>
  <c r="AY100" i="3"/>
  <c r="AY573" i="3"/>
  <c r="AY478" i="3"/>
  <c r="AY212" i="3"/>
  <c r="AY441" i="3"/>
  <c r="AY168" i="3"/>
  <c r="AY207" i="3"/>
  <c r="AY444" i="3"/>
  <c r="AY387" i="3"/>
  <c r="AY75" i="3"/>
  <c r="AY90" i="3"/>
  <c r="AY18" i="3"/>
  <c r="AC6" i="3"/>
  <c r="E6" i="3" s="1"/>
  <c r="S10" i="40"/>
  <c r="K24" i="6"/>
  <c r="M24" i="6" s="1"/>
  <c r="I24" i="6" s="1"/>
  <c r="S24" i="6" s="1"/>
  <c r="E31" i="6"/>
  <c r="K21" i="6"/>
  <c r="M21" i="6" s="1"/>
  <c r="I21" i="6" s="1"/>
  <c r="S21" i="6" s="1"/>
  <c r="K25" i="6"/>
  <c r="M25" i="6" s="1"/>
  <c r="I25" i="6" s="1"/>
  <c r="S25" i="6" s="1"/>
  <c r="K22" i="6"/>
  <c r="M22" i="6" s="1"/>
  <c r="I22" i="6" s="1"/>
  <c r="S22" i="6" s="1"/>
  <c r="K23" i="6"/>
  <c r="M23" i="6" s="1"/>
  <c r="I23" i="6" s="1"/>
  <c r="S23" i="6" s="1"/>
  <c r="K19" i="6"/>
  <c r="S6" i="1" s="1"/>
  <c r="K20" i="6"/>
  <c r="M20" i="6" s="1"/>
  <c r="I20" i="6" s="1"/>
  <c r="S20" i="6" s="1"/>
  <c r="K26" i="6"/>
  <c r="M26" i="6" s="1"/>
  <c r="I26" i="6" s="1"/>
  <c r="S26" i="6" s="1"/>
  <c r="D17" i="12"/>
  <c r="C17" i="12" s="1"/>
  <c r="C14" i="12"/>
  <c r="C20" i="11"/>
  <c r="C28" i="11" s="1"/>
  <c r="C27" i="11" s="1"/>
  <c r="P7" i="1"/>
  <c r="P16" i="1" s="1"/>
  <c r="C11" i="12" s="1"/>
  <c r="D26" i="6"/>
  <c r="D14" i="6"/>
  <c r="D21" i="6"/>
  <c r="D12" i="6"/>
  <c r="L19" i="9"/>
  <c r="D13" i="6"/>
  <c r="E61" i="40"/>
  <c r="C8" i="74"/>
  <c r="D10" i="68"/>
  <c r="D10" i="11"/>
  <c r="C10" i="11" s="1"/>
  <c r="D20" i="12"/>
  <c r="C20" i="12" s="1"/>
  <c r="D10" i="69"/>
  <c r="N16" i="1"/>
  <c r="L16" i="1"/>
  <c r="C34" i="11"/>
  <c r="C34" i="68"/>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D11" i="71" l="1"/>
  <c r="C10" i="71"/>
  <c r="H23" i="6"/>
  <c r="D6" i="6"/>
  <c r="D20" i="6"/>
  <c r="D15" i="6"/>
  <c r="D8" i="6"/>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80" i="3"/>
  <c r="BF6" i="3"/>
  <c r="AY488" i="3"/>
  <c r="AY290" i="3"/>
  <c r="AY554" i="3"/>
  <c r="AY294" i="3"/>
  <c r="AY28" i="3"/>
  <c r="BK6" i="3"/>
  <c r="AY228" i="3"/>
  <c r="AY58" i="3"/>
  <c r="AY137" i="3"/>
  <c r="AY48" i="3"/>
  <c r="AY494" i="3"/>
  <c r="AY571" i="3"/>
  <c r="AY411" i="3"/>
  <c r="AY472" i="3"/>
  <c r="AY333" i="3"/>
  <c r="AY259" i="3"/>
  <c r="AY202" i="3"/>
  <c r="BH6" i="3"/>
  <c r="AY278" i="3"/>
  <c r="AY33" i="3"/>
  <c r="AY544" i="3"/>
  <c r="AY217" i="3"/>
  <c r="AY297" i="3"/>
  <c r="AY21" i="3"/>
  <c r="AY496" i="3"/>
  <c r="AY520" i="3"/>
  <c r="AY503" i="3"/>
  <c r="AY449" i="3"/>
  <c r="AY258" i="3"/>
  <c r="BB6" i="3"/>
  <c r="AY255" i="3"/>
  <c r="AY198" i="3"/>
  <c r="AY540" i="3"/>
  <c r="AY379" i="3"/>
  <c r="AY236" i="3"/>
  <c r="AY425" i="3"/>
  <c r="AY147" i="3"/>
  <c r="AY191" i="3"/>
  <c r="AY308" i="3"/>
  <c r="AY393" i="3"/>
  <c r="AY130" i="3"/>
  <c r="AY57" i="3"/>
  <c r="AY365" i="3"/>
  <c r="AY254" i="3"/>
  <c r="AY117" i="3"/>
  <c r="AY178" i="3"/>
  <c r="AY68" i="3"/>
  <c r="AY555" i="3"/>
  <c r="AY535" i="3"/>
  <c r="AY311" i="3"/>
  <c r="AY269" i="3"/>
  <c r="AY303" i="3"/>
  <c r="AY152" i="3"/>
  <c r="AY87" i="3"/>
  <c r="AY489" i="3"/>
  <c r="AY252" i="3"/>
  <c r="AY123" i="3"/>
  <c r="AY139" i="3"/>
  <c r="AY67" i="3"/>
  <c r="AY374" i="3"/>
  <c r="AY262" i="3"/>
  <c r="AY125" i="3"/>
  <c r="AY185" i="3"/>
  <c r="AY76" i="3"/>
  <c r="BE6" i="3"/>
  <c r="AY401" i="3"/>
  <c r="AY327" i="3"/>
  <c r="AY300" i="3"/>
  <c r="AY335" i="3"/>
  <c r="AY188" i="3"/>
  <c r="AY174" i="3"/>
  <c r="AY64" i="3"/>
  <c r="AY523" i="3"/>
  <c r="AY532" i="3"/>
  <c r="AY552" i="3"/>
  <c r="AY536" i="3"/>
  <c r="AY580" i="3"/>
  <c r="AY419" i="3"/>
  <c r="AY438" i="3"/>
  <c r="AY483" i="3"/>
  <c r="AY370" i="3"/>
  <c r="AY121" i="3"/>
  <c r="AY72" i="3"/>
  <c r="AY368" i="3"/>
  <c r="AY238" i="3"/>
  <c r="AY291" i="3"/>
  <c r="AY162" i="3"/>
  <c r="AY52" i="3"/>
  <c r="AY105" i="3"/>
  <c r="AY557" i="3"/>
  <c r="AY326" i="3"/>
  <c r="AY229" i="3"/>
  <c r="AY473" i="3"/>
  <c r="AY281" i="3"/>
  <c r="AY51" i="3"/>
  <c r="AY486" i="3"/>
  <c r="AY220" i="3"/>
  <c r="AY292" i="3"/>
  <c r="AY132" i="3"/>
  <c r="AY82"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60" i="3"/>
  <c r="AY382" i="3"/>
  <c r="AY111" i="3"/>
  <c r="AY95" i="3"/>
  <c r="AY34" i="3"/>
  <c r="AY497" i="3"/>
  <c r="AY455" i="3"/>
  <c r="AY319" i="3"/>
  <c r="AY209" i="3"/>
  <c r="AY284" i="3"/>
  <c r="AY261" i="3"/>
  <c r="AY183" i="3"/>
  <c r="AY289" i="3"/>
  <c r="AY160" i="3"/>
  <c r="AY50" i="3"/>
  <c r="AY171" i="3"/>
  <c r="AY237" i="3"/>
  <c r="AY526" i="3"/>
  <c r="AY366" i="3"/>
  <c r="AY343" i="3"/>
  <c r="AY539" i="3"/>
  <c r="AY193" i="3"/>
  <c r="AY270" i="3"/>
  <c r="AY88" i="3"/>
  <c r="AY215" i="3"/>
  <c r="AY454" i="3"/>
  <c r="AY525" i="3"/>
  <c r="AY518" i="3"/>
  <c r="AY577" i="3"/>
  <c r="AY205" i="3"/>
  <c r="AY225" i="3"/>
  <c r="AY372" i="3"/>
  <c r="AY533" i="3"/>
  <c r="AY190" i="3"/>
  <c r="AY247" i="3"/>
  <c r="AY109" i="3"/>
  <c r="AY242" i="3"/>
  <c r="AY462" i="3"/>
  <c r="AY495" i="3"/>
  <c r="AY194" i="3"/>
  <c r="AY371" i="3"/>
  <c r="AY541" i="3"/>
  <c r="AY231" i="3"/>
  <c r="AY210" i="3"/>
  <c r="AY510" i="3"/>
  <c r="AY267" i="3"/>
  <c r="AY337" i="3"/>
  <c r="AY476" i="3"/>
  <c r="AY415" i="3"/>
  <c r="AY515" i="3"/>
  <c r="AY493" i="3"/>
  <c r="AY172" i="3"/>
  <c r="AY248" i="3"/>
  <c r="AY485" i="3"/>
  <c r="AY547" i="3"/>
  <c r="AY54" i="3"/>
  <c r="AY293" i="3"/>
  <c r="AY351" i="3"/>
  <c r="AY477" i="3"/>
  <c r="AY400" i="3"/>
  <c r="AY566" i="3"/>
  <c r="AY83" i="3"/>
  <c r="AY318" i="3"/>
  <c r="AY342" i="3"/>
  <c r="AY553" i="3"/>
  <c r="AY170" i="3"/>
  <c r="AY246" i="3"/>
  <c r="AY41" i="3"/>
  <c r="AY377" i="3"/>
  <c r="AY414" i="3"/>
  <c r="AY16" i="3"/>
  <c r="AY142"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98" i="3"/>
  <c r="AY163" i="3"/>
  <c r="AY334" i="3"/>
  <c r="AY42" i="3"/>
  <c r="AY116" i="3"/>
  <c r="AY417" i="3"/>
  <c r="AY84" i="3"/>
  <c r="AY134" i="3"/>
  <c r="AY373" i="3"/>
  <c r="AY161" i="3"/>
  <c r="AY324" i="3"/>
  <c r="AY435" i="3"/>
  <c r="BN6" i="3"/>
  <c r="AY508" i="3"/>
  <c r="AY49" i="3"/>
  <c r="AY115" i="3"/>
  <c r="AY26" i="3"/>
  <c r="AY420" i="3"/>
  <c r="AY61" i="3"/>
  <c r="AY133" i="3"/>
  <c r="AY397" i="3"/>
  <c r="AY166" i="3"/>
  <c r="AY348" i="3"/>
  <c r="BQ6" i="3"/>
  <c r="AY582" i="3"/>
  <c r="AY129" i="3"/>
  <c r="AY358" i="3"/>
  <c r="AY201" i="3"/>
  <c r="AY104" i="3"/>
  <c r="AY446" i="3"/>
  <c r="AY189" i="3"/>
  <c r="AY396" i="3"/>
  <c r="AY320" i="3"/>
  <c r="AY434" i="3"/>
  <c r="AY538" i="3"/>
  <c r="AY545" i="3"/>
  <c r="AY62" i="3"/>
  <c r="AY301" i="3"/>
  <c r="AY359" i="3"/>
  <c r="AY408" i="3"/>
  <c r="AY107" i="3"/>
  <c r="AY164" i="3"/>
  <c r="AY240" i="3"/>
  <c r="AY307" i="3"/>
  <c r="AY443" i="3"/>
  <c r="AY521" i="3"/>
  <c r="BT6" i="3"/>
  <c r="AY131" i="3"/>
  <c r="AY513" i="3"/>
  <c r="AY299" i="3"/>
  <c r="AY114" i="3"/>
  <c r="AY561" i="3"/>
  <c r="AY287" i="3"/>
  <c r="AY364" i="3"/>
  <c r="AY471" i="3"/>
  <c r="AY439" i="3"/>
  <c r="AY524" i="3"/>
  <c r="AY578" i="3"/>
  <c r="AY192" i="3"/>
  <c r="AY249" i="3"/>
  <c r="AY346" i="3"/>
  <c r="AY558" i="3"/>
  <c r="AY55" i="3"/>
  <c r="AY128" i="3"/>
  <c r="AY391" i="3"/>
  <c r="AY448" i="3"/>
  <c r="AY586" i="3"/>
  <c r="AY245" i="3"/>
  <c r="AY60" i="3"/>
  <c r="AY357" i="3"/>
  <c r="AY491" i="3"/>
  <c r="AY96" i="3"/>
  <c r="AY234" i="3"/>
  <c r="AY344" i="3"/>
  <c r="AY458" i="3"/>
  <c r="AY506" i="3"/>
  <c r="AY542" i="3"/>
  <c r="AY63" i="3"/>
  <c r="AY135" i="3"/>
  <c r="AY378" i="3"/>
  <c r="AY456" i="3"/>
  <c r="BL6" i="3"/>
  <c r="AY184" i="3"/>
  <c r="AY241" i="3"/>
  <c r="AY338" i="3"/>
  <c r="BD6" i="3"/>
  <c r="H20" i="6"/>
  <c r="R20" i="6" s="1"/>
  <c r="D28" i="6"/>
  <c r="D9" i="6"/>
  <c r="D29" i="6"/>
  <c r="D10" i="6"/>
  <c r="D11" i="6"/>
  <c r="D5" i="6"/>
  <c r="D24" i="6"/>
  <c r="D22" i="6"/>
  <c r="D25" i="6"/>
  <c r="D23" i="6"/>
  <c r="C18" i="4"/>
  <c r="C4" i="52" s="1"/>
  <c r="B45" i="72" s="1"/>
  <c r="D19" i="6"/>
  <c r="H25" i="6"/>
  <c r="R25" i="6" s="1"/>
  <c r="E65" i="39"/>
  <c r="H22" i="6"/>
  <c r="H24" i="6"/>
  <c r="E6" i="70"/>
  <c r="E2" i="70" s="1"/>
  <c r="F69" i="15"/>
  <c r="J29" i="15"/>
  <c r="AR6" i="1"/>
  <c r="S16" i="1"/>
  <c r="T6" i="1"/>
  <c r="AQ6" i="1"/>
  <c r="H21" i="6"/>
  <c r="D30" i="6"/>
  <c r="H26" i="6"/>
  <c r="R26" i="6" s="1"/>
  <c r="R21" i="6"/>
  <c r="K27" i="6"/>
  <c r="M19" i="6"/>
  <c r="C38" i="11"/>
  <c r="C35" i="11"/>
  <c r="F50" i="11"/>
  <c r="F50" i="68"/>
  <c r="F50" i="69"/>
  <c r="C10" i="68"/>
  <c r="B29" i="1" s="1"/>
  <c r="C8" i="68" s="1"/>
  <c r="D19" i="68"/>
  <c r="R23" i="6"/>
  <c r="A10" i="51"/>
  <c r="B9" i="72" s="1"/>
  <c r="C35" i="68"/>
  <c r="C38" i="68"/>
  <c r="C10" i="69"/>
  <c r="C8" i="69" s="1"/>
  <c r="C5" i="69" s="1"/>
  <c r="C23" i="69" s="1"/>
  <c r="D19" i="69"/>
  <c r="D7" i="74"/>
  <c r="D8" i="74"/>
  <c r="C15" i="12"/>
  <c r="C12"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B6" i="76"/>
  <c r="E6" i="76"/>
  <c r="D27" i="6" l="1"/>
  <c r="D10" i="71"/>
  <c r="C9" i="71"/>
  <c r="A7" i="51"/>
  <c r="B7" i="72" s="1"/>
  <c r="R22" i="6"/>
  <c r="D16" i="6"/>
  <c r="R24" i="6"/>
  <c r="D31" i="6"/>
  <c r="I6" i="6" s="1"/>
  <c r="C15" i="15"/>
  <c r="C18" i="15"/>
  <c r="T16" i="1"/>
  <c r="C18" i="12"/>
  <c r="C16" i="12"/>
  <c r="I19" i="6"/>
  <c r="M27" i="6"/>
  <c r="C19" i="69"/>
  <c r="C24" i="69" s="1"/>
  <c r="D37" i="69"/>
  <c r="C37" i="69" s="1"/>
  <c r="C33" i="69" s="1"/>
  <c r="C33" i="11"/>
  <c r="C19" i="68"/>
  <c r="D37" i="68"/>
  <c r="C37" i="68" s="1"/>
  <c r="C33" i="68"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8" i="71" l="1"/>
  <c r="T9" i="71"/>
  <c r="D9" i="71"/>
  <c r="U9" i="71" s="1"/>
  <c r="I5" i="6"/>
  <c r="C19" i="15"/>
  <c r="C20" i="15" s="1"/>
  <c r="C26" i="15" s="1"/>
  <c r="C21" i="12"/>
  <c r="C22" i="12" s="1"/>
  <c r="C27" i="12" s="1"/>
  <c r="C25" i="12" s="1"/>
  <c r="H19" i="6"/>
  <c r="S19" i="6"/>
  <c r="S27" i="6" s="1"/>
  <c r="I27" i="6"/>
  <c r="C39" i="68"/>
  <c r="C42" i="68"/>
  <c r="C20" i="69"/>
  <c r="C39" i="69"/>
  <c r="C43" i="69" s="1"/>
  <c r="C42" i="69"/>
  <c r="C24" i="68"/>
  <c r="C39" i="11"/>
  <c r="C42" i="1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8" i="71" l="1"/>
  <c r="C7" i="71"/>
  <c r="C23" i="15"/>
  <c r="C29" i="15" s="1"/>
  <c r="C41" i="69"/>
  <c r="C30" i="12"/>
  <c r="C28" i="12" s="1"/>
  <c r="C32" i="12" s="1"/>
  <c r="B2" i="12" s="1"/>
  <c r="B3" i="12" s="1"/>
  <c r="C46" i="69"/>
  <c r="C45" i="69" s="1"/>
  <c r="H27" i="6"/>
  <c r="R19" i="6"/>
  <c r="C46" i="11"/>
  <c r="C45" i="11" s="1"/>
  <c r="C43" i="11"/>
  <c r="C41" i="11" s="1"/>
  <c r="C28" i="69"/>
  <c r="C27" i="69" s="1"/>
  <c r="C25" i="69"/>
  <c r="C22" i="69"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7" i="71" l="1"/>
  <c r="C6" i="71"/>
  <c r="Q49" i="15"/>
  <c r="J59" i="15"/>
  <c r="J60" i="15" s="1"/>
  <c r="Q48" i="15" s="1"/>
  <c r="J14" i="15"/>
  <c r="C36" i="15"/>
  <c r="C13" i="15"/>
  <c r="J19" i="15"/>
  <c r="C57" i="15"/>
  <c r="C49" i="69"/>
  <c r="C51" i="69" s="1"/>
  <c r="C31" i="69"/>
  <c r="C49" i="68"/>
  <c r="C51" i="68" s="1"/>
  <c r="C49" i="11"/>
  <c r="C51" i="11" s="1"/>
  <c r="C52" i="11" s="1"/>
  <c r="B2" i="11" s="1"/>
  <c r="B3" i="11"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 i="71" l="1"/>
  <c r="D6" i="71"/>
  <c r="C61" i="15"/>
  <c r="C64" i="15"/>
  <c r="C56" i="15"/>
  <c r="C65" i="15" s="1"/>
  <c r="C37" i="15"/>
  <c r="Q70" i="15"/>
  <c r="C75" i="15"/>
  <c r="J13" i="15"/>
  <c r="J23" i="15" s="1"/>
  <c r="J22" i="15"/>
  <c r="C52" i="69"/>
  <c r="C57" i="69" s="1"/>
  <c r="C56" i="69" s="1"/>
  <c r="F63" i="15"/>
  <c r="C62" i="15" s="1"/>
  <c r="C34" i="15"/>
  <c r="C31" i="15" s="1"/>
  <c r="J20" i="15"/>
  <c r="J17" i="15" s="1"/>
  <c r="R16" i="1"/>
  <c r="C56" i="11"/>
  <c r="C57" i="11" s="1"/>
  <c r="B2" i="69"/>
  <c r="B3"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5" i="71" l="1"/>
  <c r="M20" i="43"/>
  <c r="C30" i="15"/>
  <c r="C39" i="15" s="1"/>
  <c r="C80" i="15" s="1"/>
  <c r="C79" i="15" s="1"/>
  <c r="J16" i="15"/>
  <c r="J25" i="15" s="1"/>
  <c r="C59" i="15"/>
  <c r="C58" i="15" s="1"/>
  <c r="C67" i="15" s="1"/>
  <c r="C68" i="15" s="1"/>
  <c r="C71" i="15" s="1"/>
  <c r="L57" i="15"/>
  <c r="L60" i="15" s="1"/>
  <c r="M69" i="39"/>
  <c r="N67" i="39"/>
  <c r="R39" i="35"/>
  <c r="E38" i="35"/>
  <c r="M63" i="40"/>
  <c r="L65" i="40"/>
  <c r="L51" i="15"/>
  <c r="Q67" i="15" l="1"/>
  <c r="Q69" i="15"/>
  <c r="Q68" i="15" s="1"/>
  <c r="C40" i="15"/>
  <c r="C46" i="15" s="1"/>
  <c r="L46" i="15"/>
  <c r="Q66" i="15"/>
  <c r="Q57" i="15"/>
  <c r="O67" i="39"/>
  <c r="O69" i="39" s="1"/>
  <c r="N69" i="39"/>
  <c r="F7" i="39"/>
  <c r="C39" i="35"/>
  <c r="B2" i="35" s="1"/>
  <c r="B3" i="35" s="1"/>
  <c r="C38" i="35"/>
  <c r="N63" i="40"/>
  <c r="M65" i="40"/>
  <c r="E43" i="35"/>
  <c r="F43" i="35" s="1"/>
  <c r="E42" i="35"/>
  <c r="F42" i="35" s="1"/>
  <c r="I43" i="35"/>
  <c r="J43" i="35" s="1"/>
  <c r="C43" i="15" l="1"/>
  <c r="Q65" i="15"/>
  <c r="Q75" i="15" s="1"/>
  <c r="B2" i="15"/>
  <c r="Q47" i="15"/>
  <c r="Q53" i="15" s="1"/>
  <c r="C83" i="15"/>
  <c r="C82" i="15" s="1"/>
  <c r="Q56" i="15"/>
  <c r="Q62" i="15" s="1"/>
  <c r="H7" i="39"/>
  <c r="J7" i="39"/>
  <c r="S7" i="39"/>
  <c r="AA7" i="39"/>
  <c r="R47" i="39" s="1"/>
  <c r="O63" i="40"/>
  <c r="O65" i="40" s="1"/>
  <c r="N65" i="40"/>
  <c r="D19" i="9"/>
  <c r="AO6" i="1"/>
  <c r="B6" i="70" l="1"/>
  <c r="B2" i="70" s="1"/>
  <c r="B3" i="70" s="1"/>
  <c r="D21" i="9"/>
  <c r="D102" i="9"/>
  <c r="B3" i="15"/>
  <c r="W7" i="39"/>
  <c r="AC7" i="39"/>
  <c r="V47" i="39" s="1"/>
  <c r="I47" i="39" s="1"/>
  <c r="E47" i="39"/>
  <c r="R48" i="39"/>
  <c r="U7" i="39"/>
  <c r="AB7" i="39"/>
  <c r="T47" i="39" s="1"/>
  <c r="G47" i="39" s="1"/>
  <c r="J7" i="40"/>
  <c r="F7" i="40"/>
  <c r="H7" i="40"/>
  <c r="D20" i="9"/>
  <c r="D103" i="9" l="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6" i="74" l="1"/>
  <c r="E16" i="74"/>
  <c r="AB15" i="71" l="1"/>
  <c r="M29" i="68"/>
  <c r="M23" i="68"/>
  <c r="M28" i="68"/>
  <c r="M26" i="68"/>
  <c r="M27" i="68"/>
  <c r="M25" i="68"/>
  <c r="M24" i="68"/>
  <c r="C7" i="68" l="1"/>
  <c r="C5" i="68" s="1"/>
  <c r="C20" i="68" l="1"/>
  <c r="C25" i="68" s="1"/>
  <c r="C23" i="68"/>
  <c r="C22" i="68" l="1"/>
  <c r="C28" i="68"/>
  <c r="C27" i="68" s="1"/>
  <c r="C31" i="68" l="1"/>
  <c r="C52" i="68" s="1"/>
  <c r="C57" i="68" s="1"/>
  <c r="C56" i="68" s="1"/>
  <c r="B2" i="68" l="1"/>
  <c r="C19" i="9"/>
  <c r="D22" i="9" l="1"/>
  <c r="C102" i="9"/>
  <c r="C21" i="9"/>
  <c r="G19" i="9"/>
  <c r="G24" i="9" s="1"/>
  <c r="B3" i="68"/>
  <c r="C32" i="9"/>
  <c r="C20" i="9"/>
  <c r="D35" i="9"/>
  <c r="D34" i="9"/>
  <c r="G21" i="9" l="1"/>
  <c r="G20" i="9"/>
  <c r="C103" i="9"/>
  <c r="C35" i="9"/>
  <c r="F118" i="9" s="1"/>
  <c r="F3" i="81" s="1"/>
  <c r="H118" i="9"/>
  <c r="H3" i="81" s="1"/>
  <c r="F5" i="81" l="1"/>
  <c r="F6" i="81" s="1"/>
  <c r="H5" i="81"/>
  <c r="H6" i="81" s="1"/>
  <c r="L3" i="81"/>
  <c r="C34" i="9"/>
  <c r="D118" i="9" s="1"/>
  <c r="H4" i="52"/>
  <c r="I118" i="9"/>
  <c r="I3" i="81" s="1"/>
  <c r="L4" i="81" s="1"/>
  <c r="C104" i="9"/>
  <c r="H119" i="9"/>
  <c r="H5" i="52" s="1"/>
  <c r="D14" i="74"/>
  <c r="H101" i="9"/>
  <c r="F4" i="52"/>
  <c r="B51" i="72" s="1"/>
  <c r="G118" i="9"/>
  <c r="F119" i="9"/>
  <c r="F5" i="52" s="1"/>
  <c r="B53" i="72" s="1"/>
  <c r="G4" i="52" l="1"/>
  <c r="B52" i="72" s="1"/>
  <c r="G3" i="81"/>
  <c r="D4" i="52"/>
  <c r="B47" i="72" s="1"/>
  <c r="D3" i="81"/>
  <c r="D5" i="81" s="1"/>
  <c r="D119" i="9"/>
  <c r="D5" i="52" s="1"/>
  <c r="B49" i="72" s="1"/>
  <c r="F14" i="74"/>
  <c r="E14" i="74"/>
  <c r="M48" i="9"/>
  <c r="D5" i="53"/>
  <c r="H107" i="9"/>
  <c r="D45" i="9"/>
  <c r="I4" i="52"/>
  <c r="C105" i="9"/>
  <c r="E118" i="9"/>
  <c r="H102" i="9"/>
  <c r="D7" i="53" s="1"/>
  <c r="B21" i="72" s="1"/>
  <c r="D6" i="81" l="1"/>
  <c r="E4" i="52"/>
  <c r="B48" i="72" s="1"/>
  <c r="E3" i="81"/>
  <c r="D13" i="53"/>
  <c r="H108" i="9"/>
  <c r="D15" i="53" s="1"/>
  <c r="B31" i="72" s="1"/>
  <c r="M49" i="9"/>
  <c r="D122" i="9"/>
  <c r="D52" i="9"/>
  <c r="C78" i="9"/>
  <c r="C73" i="9" s="1"/>
  <c r="C64" i="9"/>
  <c r="C63" i="9" s="1"/>
  <c r="C67" i="9" s="1"/>
  <c r="C85" i="9"/>
  <c r="D53" i="9"/>
  <c r="C93" i="9"/>
  <c r="C86" i="9" s="1"/>
  <c r="C72" i="9"/>
  <c r="D55" i="9"/>
  <c r="M53" i="9" s="1"/>
  <c r="D6" i="53"/>
  <c r="B22" i="72" s="1"/>
  <c r="B20" i="72"/>
  <c r="C79" i="9" l="1"/>
  <c r="C80" i="9" s="1"/>
  <c r="E80" i="9" s="1"/>
  <c r="E81" i="9" s="1"/>
  <c r="C95" i="9"/>
  <c r="D8" i="52"/>
  <c r="G14" i="74"/>
  <c r="D123" i="9"/>
  <c r="D9" i="52" s="1"/>
  <c r="C68" i="9"/>
  <c r="D54" i="9" s="1"/>
  <c r="D59" i="9"/>
  <c r="M55" i="9" s="1"/>
  <c r="L65" i="9"/>
  <c r="M65" i="9" s="1"/>
  <c r="L68" i="9"/>
  <c r="M68" i="9" s="1"/>
  <c r="L63" i="9"/>
  <c r="M63" i="9" s="1"/>
  <c r="L64" i="9"/>
  <c r="M64" i="9" s="1"/>
  <c r="L67" i="9"/>
  <c r="M67" i="9" s="1"/>
  <c r="L66" i="9"/>
  <c r="M66" i="9" s="1"/>
  <c r="D14" i="53"/>
  <c r="B32" i="72" s="1"/>
  <c r="B30" i="72"/>
  <c r="M69" i="9" l="1"/>
  <c r="N69" i="9" s="1"/>
  <c r="C81" i="9"/>
  <c r="C96" i="9"/>
  <c r="E96" i="9" s="1"/>
  <c r="E97" i="9" s="1"/>
  <c r="C97" i="9" l="1"/>
  <c r="D58" i="9" s="1"/>
  <c r="D56" i="9" s="1"/>
  <c r="M54" i="9" s="1"/>
  <c r="N57" i="9" s="1"/>
  <c r="P57" i="9" s="1"/>
  <c r="N58" i="9" l="1"/>
  <c r="N59" i="9"/>
  <c r="N61" i="9" s="1"/>
  <c r="N60" i="9" l="1"/>
  <c r="D15" i="74" l="1"/>
  <c r="G15" i="74" l="1"/>
  <c r="B6" i="74" s="1"/>
  <c r="E15" i="74"/>
  <c r="F15" i="74"/>
  <c r="B5" i="74"/>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WANG</author>
  </authors>
  <commentList>
    <comment ref="E35" authorId="0">
      <text>
        <r>
          <rPr>
            <b/>
            <sz val="9"/>
            <color indexed="81"/>
            <rFont val="宋体"/>
            <family val="3"/>
            <charset val="134"/>
          </rPr>
          <t>WANG:抵押物灭失，不在范围内</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<sst xmlns="http://schemas.openxmlformats.org/spreadsheetml/2006/main" count="8028" uniqueCount="3590">
  <si>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</si>
  <si>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</si>
  <si>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</si>
  <si>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</si>
  <si>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</si>
  <si>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</si>
  <si>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</si>
  <si>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</si>
  <si>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</si>
  <si>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</si>
  <si>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</si>
  <si>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</si>
  <si>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</si>
  <si>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</si>
  <si>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</si>
  <si>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</si>
  <si>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</si>
  <si>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</si>
  <si>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</si>
  <si>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</si>
  <si>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</si>
  <si>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</si>
  <si>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</si>
  <si>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</si>
  <si>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</si>
  <si>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</si>
  <si>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</si>
  <si>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</si>
  <si>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</si>
  <si>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</si>
  <si>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</si>
  <si>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</si>
  <si>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</si>
  <si>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</si>
  <si>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</si>
  <si>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</si>
  <si>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</si>
  <si>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</si>
  <si>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</si>
  <si>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</si>
  <si>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</si>
  <si>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</si>
  <si>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</si>
  <si>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</si>
  <si>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</si>
  <si>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</si>
  <si>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</si>
  <si>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</si>
  <si>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</si>
  <si>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</si>
  <si>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</si>
  <si>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</si>
  <si>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</si>
  <si>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</si>
  <si>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</si>
  <si>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</si>
  <si>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</si>
  <si>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</si>
  <si>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</si>
  <si>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</si>
  <si>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</si>
  <si>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</si>
  <si>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</si>
  <si>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</si>
  <si>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</si>
  <si>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</si>
  <si>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</si>
  <si>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</si>
  <si>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</si>
  <si>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</si>
  <si>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</si>
  <si>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</si>
  <si>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</si>
  <si>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</si>
  <si>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</si>
  <si>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</si>
  <si>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</si>
  <si>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</si>
  <si>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</si>
  <si>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</si>
  <si>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</si>
  <si>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</si>
  <si>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</si>
  <si>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</si>
  <si>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</si>
  <si>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</si>
  <si>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</si>
  <si>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</si>
  <si>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</si>
  <si>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</si>
  <si>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</si>
  <si>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</si>
  <si>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</si>
  <si>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</si>
  <si>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</si>
  <si>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</si>
  <si>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</si>
  <si>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</si>
  <si>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</si>
  <si>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</si>
  <si>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</si>
  <si>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</si>
  <si>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</si>
  <si>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</si>
  <si>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</si>
  <si>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</si>
  <si>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</si>
  <si>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</si>
  <si>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</si>
  <si>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</si>
  <si>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</si>
  <si>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</si>
  <si>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</si>
  <si>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</si>
  <si>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</si>
  <si>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</si>
  <si>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</si>
  <si>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</si>
  <si>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</si>
  <si>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</si>
  <si>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</si>
  <si>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</si>
  <si>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</si>
  <si>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</si>
  <si>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</si>
  <si>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</si>
  <si>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</si>
  <si>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</si>
  <si>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</si>
  <si>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</si>
  <si>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</si>
  <si>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</si>
  <si>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</si>
  <si>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</si>
  <si>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</si>
  <si>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</si>
  <si>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</si>
  <si>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</si>
  <si>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</si>
  <si>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</si>
  <si>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</si>
  <si>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</si>
  <si>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</si>
  <si>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</si>
  <si>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</si>
  <si>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</si>
  <si>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</si>
  <si>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</si>
  <si>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</si>
  <si>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</si>
  <si>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</si>
  <si>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</si>
  <si>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</si>
  <si>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</si>
  <si>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</si>
  <si>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</si>
  <si>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</si>
  <si>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</si>
  <si>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</si>
  <si>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</si>
  <si>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</si>
  <si>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</si>
  <si>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</si>
  <si>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</si>
  <si>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</si>
  <si>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</si>
  <si>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</si>
  <si>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</si>
  <si>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</si>
  <si>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</si>
  <si>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</si>
  <si>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</si>
  <si>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</si>
  <si>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</si>
  <si>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</si>
  <si>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</si>
  <si>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</si>
  <si>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</si>
  <si>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</si>
  <si>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</si>
  <si>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</si>
  <si>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</si>
  <si>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</si>
  <si>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</si>
  <si>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</si>
  <si>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</si>
  <si>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</si>
  <si>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</si>
  <si>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</si>
  <si>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</si>
  <si>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</si>
  <si>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</si>
  <si>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</si>
  <si>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</si>
  <si>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</si>
  <si>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</si>
  <si>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</si>
  <si>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</si>
  <si>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</si>
  <si>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</si>
  <si>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</si>
  <si>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</si>
  <si>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</si>
  <si>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</si>
  <si>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</si>
  <si>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</si>
  <si>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</si>
  <si>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</si>
  <si>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</si>
  <si>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</si>
  <si>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</si>
  <si>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</si>
  <si>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</si>
  <si>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</si>
  <si>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</si>
  <si>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</si>
  <si>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</si>
  <si>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</si>
  <si>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</si>
  <si>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</si>
  <si>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</si>
  <si>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</si>
  <si>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</si>
  <si>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</si>
  <si>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</si>
  <si>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</si>
  <si>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</si>
  <si>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</si>
  <si>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</si>
  <si>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</si>
  <si>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</si>
  <si>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</si>
  <si>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</si>
  <si>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</si>
  <si>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</si>
  <si>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</si>
  <si>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</si>
  <si>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</si>
  <si>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</si>
  <si>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</si>
  <si>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</si>
  <si>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</si>
  <si>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</si>
  <si>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</si>
  <si>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</si>
  <si>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</si>
  <si>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</si>
  <si>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</si>
  <si>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</si>
  <si>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</si>
  <si>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</si>
  <si>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</si>
  <si>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</si>
  <si>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</si>
  <si>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</si>
  <si>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</si>
  <si>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</si>
  <si>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</si>
  <si>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</si>
  <si>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</si>
  <si>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</si>
  <si>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</si>
  <si>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</si>
  <si>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</si>
  <si>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</si>
  <si>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</si>
  <si>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</si>
  <si>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</si>
  <si>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</si>
  <si>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</si>
  <si>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</si>
  <si>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</si>
  <si>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</si>
  <si>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</si>
  <si>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</si>
  <si>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</si>
  <si>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</si>
  <si>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</si>
  <si>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</si>
  <si>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</si>
  <si>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</si>
  <si>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</si>
  <si>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</si>
  <si>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</si>
  <si>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</si>
  <si>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</si>
  <si>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</si>
  <si>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</si>
  <si>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</si>
  <si>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</si>
  <si>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</si>
  <si>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</si>
  <si>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</si>
  <si>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</si>
  <si>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</si>
  <si>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</si>
  <si>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</si>
  <si>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</si>
  <si>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</si>
  <si>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</si>
  <si>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</si>
  <si>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</si>
  <si>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</si>
  <si>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</si>
  <si>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</si>
  <si>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</si>
  <si>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</si>
  <si>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</si>
  <si>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</si>
  <si>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</si>
  <si>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</si>
  <si>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</si>
  <si>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</si>
  <si>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</si>
  <si>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</si>
  <si>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</si>
  <si>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</si>
  <si>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</si>
  <si>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</si>
  <si>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</si>
  <si>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</si>
  <si>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</si>
  <si>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</si>
  <si>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</si>
  <si>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</si>
  <si>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</si>
  <si>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</si>
  <si>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</si>
  <si>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</si>
  <si>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</si>
  <si>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</si>
  <si>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</si>
  <si>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</si>
  <si>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</si>
  <si>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</si>
  <si>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</si>
  <si>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</si>
  <si>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</si>
  <si>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</si>
  <si>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</si>
  <si>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</si>
  <si>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</si>
  <si>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</si>
  <si>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</si>
  <si>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</si>
  <si>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</si>
  <si>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</si>
  <si>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</si>
  <si>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</si>
  <si>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</si>
  <si>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</si>
  <si>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</si>
  <si>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</si>
  <si>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</si>
  <si>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</si>
  <si>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</si>
  <si>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</si>
  <si>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</si>
  <si>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</si>
  <si>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</si>
  <si>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</si>
  <si>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</si>
  <si>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</si>
  <si>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</si>
  <si>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</si>
  <si>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</si>
  <si>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</si>
  <si>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</si>
  <si>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</si>
  <si>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</si>
  <si>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</si>
  <si>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</si>
  <si>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</si>
  <si>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</si>
  <si>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</si>
  <si>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</si>
  <si>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</si>
  <si>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</si>
  <si>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</si>
  <si>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</si>
  <si>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</si>
  <si>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</si>
  <si>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</si>
  <si>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</si>
  <si>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</si>
  <si>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</si>
  <si>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</si>
  <si>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</si>
  <si>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</si>
  <si>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</si>
  <si>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</si>
  <si>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</si>
  <si>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</si>
  <si>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</si>
  <si>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</si>
  <si>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</si>
  <si>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</si>
  <si>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</si>
  <si>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</si>
  <si>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</si>
  <si>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</si>
  <si>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</si>
  <si>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</si>
  <si>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</si>
  <si>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</si>
  <si>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</si>
  <si>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</si>
  <si>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</si>
  <si>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</si>
  <si>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</si>
  <si>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</si>
  <si>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</si>
  <si>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</si>
  <si>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</si>
  <si>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</si>
  <si>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</si>
  <si>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</si>
  <si>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</si>
  <si>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</si>
  <si>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</si>
  <si>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</si>
  <si>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</si>
  <si>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</si>
  <si>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</si>
  <si>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</si>
  <si>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</si>
  <si>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</si>
  <si>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</si>
  <si>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</si>
  <si>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</si>
  <si>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</si>
  <si>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</si>
  <si>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</si>
  <si>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</si>
  <si>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</si>
  <si>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</si>
  <si>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</si>
  <si>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</si>
  <si>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</si>
  <si>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</si>
  <si>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</si>
  <si>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</si>
  <si>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</si>
  <si>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</si>
  <si>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</si>
  <si>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</si>
  <si>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</si>
  <si>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</si>
  <si>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</si>
  <si>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</si>
  <si>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</si>
  <si>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</si>
  <si>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</si>
  <si>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</si>
  <si>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</si>
  <si>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</si>
  <si>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</si>
  <si>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</si>
  <si>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</si>
  <si>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</si>
  <si>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</si>
  <si>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</si>
  <si>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</si>
  <si>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</si>
  <si>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</si>
  <si>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</si>
  <si>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</si>
  <si>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</si>
  <si>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</si>
  <si>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</si>
  <si>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</si>
  <si>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</si>
  <si>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</si>
  <si>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</si>
  <si>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</si>
  <si>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</si>
  <si>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</si>
  <si>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</si>
  <si>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</si>
  <si>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</si>
  <si>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</si>
  <si>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</si>
  <si>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</si>
  <si>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</si>
  <si>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</si>
  <si>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</si>
  <si>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</si>
  <si>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</si>
  <si>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</si>
  <si>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</si>
  <si>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</si>
  <si>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</si>
  <si>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</si>
  <si>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</si>
  <si>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</si>
  <si>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</si>
  <si>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</si>
  <si>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</si>
  <si>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</si>
  <si>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</si>
  <si>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</si>
  <si>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</si>
  <si>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</si>
  <si>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</si>
  <si>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</si>
  <si>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</si>
  <si>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</si>
  <si>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</si>
  <si>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</si>
  <si>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</si>
  <si>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</si>
  <si>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</si>
  <si>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</si>
  <si>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</si>
  <si>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</si>
  <si>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</si>
  <si>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</si>
  <si>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</si>
  <si>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</si>
  <si>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</si>
  <si>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</si>
  <si>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</si>
  <si>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</si>
  <si>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</si>
  <si>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</si>
  <si>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</si>
  <si>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</si>
  <si>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</si>
  <si>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</si>
  <si>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</si>
  <si>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</si>
  <si>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</si>
  <si>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</si>
  <si>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</si>
  <si>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</si>
  <si>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</si>
  <si>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</si>
  <si>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</si>
  <si>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</si>
  <si>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</si>
  <si>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</si>
  <si>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</si>
  <si>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</si>
  <si>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</si>
  <si>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</si>
  <si>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</si>
  <si>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</si>
  <si>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</si>
  <si>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</si>
  <si>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</si>
  <si>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</si>
  <si>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</si>
  <si>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</si>
  <si>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</si>
  <si>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</si>
  <si>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</si>
  <si>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</si>
  <si>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</si>
  <si>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</si>
  <si>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</si>
  <si>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</si>
  <si>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</si>
  <si>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</si>
  <si>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</si>
  <si>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</si>
  <si>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</si>
  <si>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</si>
  <si>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</si>
  <si>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</si>
  <si>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</si>
  <si>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</si>
  <si>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</si>
  <si>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</si>
  <si>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</si>
  <si>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</si>
  <si>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</si>
  <si>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</si>
  <si>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</si>
  <si>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</si>
  <si>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</si>
  <si>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</si>
  <si>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</si>
  <si>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</si>
  <si>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</si>
  <si>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</si>
  <si>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</si>
  <si>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</si>
  <si>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</si>
  <si>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</si>
  <si>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</si>
  <si>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</si>
  <si>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</si>
  <si>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</si>
  <si>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</si>
  <si>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</si>
  <si>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</si>
  <si>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</si>
  <si>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</si>
  <si>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</si>
  <si>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</si>
  <si>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</si>
  <si>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</si>
  <si>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</si>
  <si>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</si>
  <si>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</si>
  <si>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</si>
  <si>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</si>
  <si>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</si>
  <si>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</si>
  <si>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</si>
  <si>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</si>
  <si>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</si>
  <si>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</si>
  <si>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</si>
  <si>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</si>
  <si>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</si>
  <si>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</si>
  <si>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</si>
  <si>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</si>
  <si>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</si>
  <si>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</si>
  <si>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</si>
  <si>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</si>
  <si>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</si>
  <si>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</si>
  <si>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</si>
  <si>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</si>
  <si>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</si>
  <si>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</si>
  <si>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</si>
  <si>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</si>
  <si>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</si>
  <si>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</si>
  <si>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</si>
  <si>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</si>
  <si>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</si>
  <si>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</si>
  <si>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</si>
  <si>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</si>
  <si>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</si>
  <si>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</si>
  <si>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</si>
  <si>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</si>
  <si>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</si>
  <si>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</si>
  <si>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</si>
  <si>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</si>
  <si>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</si>
  <si>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</si>
  <si>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</si>
  <si>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</si>
  <si>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</si>
  <si>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</si>
  <si>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</si>
  <si>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</si>
  <si>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</si>
  <si>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</si>
  <si>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</si>
  <si>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</si>
  <si>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</si>
  <si>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</si>
  <si>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</si>
  <si>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</si>
  <si>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</si>
  <si>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</si>
  <si>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</si>
  <si>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</si>
  <si>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</si>
  <si>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</si>
  <si>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</si>
  <si>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</si>
  <si>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</si>
  <si>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</si>
  <si>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</si>
  <si>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</si>
  <si>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</si>
  <si>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</si>
  <si>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</si>
  <si>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</si>
  <si>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</si>
  <si>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</si>
  <si>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</si>
  <si>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</si>
  <si>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</si>
  <si>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</si>
  <si>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</si>
  <si>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</si>
  <si>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</si>
  <si>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</si>
  <si>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</si>
  <si>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</si>
  <si>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</si>
  <si>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</si>
  <si>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</si>
  <si>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</si>
  <si>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</si>
  <si>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</si>
  <si>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</si>
  <si>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</si>
  <si>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</si>
  <si>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</si>
  <si>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</si>
  <si>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</si>
  <si>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</si>
  <si>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</si>
  <si>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</si>
  <si>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</si>
  <si>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</si>
  <si>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</si>
  <si>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</si>
  <si>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</si>
  <si>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</si>
  <si>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</si>
  <si>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</si>
  <si>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</si>
  <si>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</si>
  <si>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</si>
  <si>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</si>
  <si>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</si>
  <si>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</si>
  <si>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</si>
  <si>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</si>
  <si>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</si>
  <si>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</si>
  <si>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</si>
  <si>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</si>
  <si>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</si>
  <si>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</si>
  <si>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</si>
  <si>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</si>
  <si>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</si>
  <si>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</si>
  <si>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</si>
  <si>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</si>
  <si>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</si>
  <si>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</si>
  <si>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</si>
  <si>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</si>
  <si>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</si>
  <si>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</si>
  <si>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</si>
  <si>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</si>
  <si>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</si>
  <si>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</si>
  <si>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</si>
  <si>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</si>
  <si>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</si>
  <si>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</si>
  <si>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</si>
  <si>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</si>
  <si>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</si>
  <si>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</si>
  <si>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</si>
  <si>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</si>
  <si>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</si>
  <si>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</si>
  <si>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</si>
  <si>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</si>
  <si>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</si>
  <si>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</si>
  <si>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</si>
  <si>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</si>
  <si>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</si>
  <si>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</si>
  <si>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</si>
  <si>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</si>
  <si>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</si>
  <si>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</si>
  <si>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</si>
  <si>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</si>
  <si>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</si>
  <si>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</si>
  <si>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</si>
  <si>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</si>
  <si>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</si>
  <si>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</si>
  <si>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</si>
  <si>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</si>
  <si>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</si>
  <si>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</si>
  <si>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</si>
  <si>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</si>
  <si>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</si>
  <si>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</si>
  <si>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</si>
  <si>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</si>
  <si>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</si>
  <si>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</si>
  <si>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</si>
  <si>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</si>
  <si>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</si>
  <si>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</si>
  <si>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</si>
  <si>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</si>
  <si>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</si>
  <si>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</si>
  <si>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</si>
  <si>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</si>
  <si>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</si>
  <si>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</si>
  <si>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</si>
  <si>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</si>
  <si>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</si>
  <si>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</si>
  <si>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</si>
  <si>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</si>
  <si>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</si>
  <si>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</si>
  <si>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</si>
  <si>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</si>
  <si>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</si>
  <si>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</si>
  <si>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</si>
  <si>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</si>
  <si>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</si>
  <si>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</si>
  <si>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</si>
  <si>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</si>
  <si>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</si>
  <si>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</si>
  <si>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</si>
  <si>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</si>
  <si>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</si>
  <si>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</si>
  <si>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</si>
  <si>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</si>
  <si>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</si>
  <si>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</si>
  <si>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</si>
  <si>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</si>
  <si>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</si>
  <si>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</si>
  <si>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</si>
  <si>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</si>
  <si>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</si>
  <si>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</si>
  <si>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</si>
  <si>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</si>
  <si>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</si>
  <si>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</si>
  <si>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</si>
  <si>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</si>
  <si>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</si>
  <si>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</si>
  <si>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</si>
  <si>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</si>
  <si>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</si>
  <si>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</si>
  <si>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</si>
  <si>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</si>
  <si>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</si>
  <si>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</si>
  <si>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</si>
  <si>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</si>
  <si>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</si>
  <si>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</si>
  <si>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</si>
  <si>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</si>
  <si>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</si>
  <si>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</si>
  <si>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</si>
  <si>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</si>
  <si>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</si>
  <si>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</si>
  <si>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</si>
  <si>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</si>
  <si>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</si>
  <si>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</si>
  <si>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</si>
  <si>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</si>
  <si>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</si>
  <si>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</si>
  <si>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</si>
  <si>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</si>
  <si>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</si>
  <si>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</si>
  <si>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</si>
  <si>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</si>
  <si>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</si>
  <si>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</si>
  <si>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</si>
  <si>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</si>
  <si>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</si>
  <si>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</si>
  <si>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</si>
  <si>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</si>
  <si>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</si>
  <si>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</si>
  <si>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</si>
  <si>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</si>
  <si>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</si>
  <si>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</si>
  <si>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</si>
  <si>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</si>
  <si>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</si>
  <si>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</si>
  <si>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</si>
  <si>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</si>
  <si>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</si>
  <si>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</si>
  <si>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</si>
  <si>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</si>
  <si>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</si>
  <si>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</si>
  <si>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</si>
  <si>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</si>
  <si>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</si>
  <si>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</si>
  <si>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</si>
  <si>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</si>
  <si>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</si>
  <si>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</si>
  <si>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</si>
  <si>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</si>
  <si>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</si>
  <si>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</si>
  <si>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</si>
  <si>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</si>
  <si>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</si>
  <si>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</si>
  <si>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</si>
  <si>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</si>
  <si>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</si>
  <si>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</si>
  <si>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</si>
  <si>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</si>
  <si>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</si>
  <si>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</si>
  <si>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</si>
  <si>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</si>
  <si>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</si>
  <si>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</si>
  <si>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</si>
  <si>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</si>
  <si>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</si>
  <si>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</si>
  <si>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</si>
  <si>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</si>
  <si>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</si>
  <si>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</si>
  <si>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</si>
  <si>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</si>
  <si>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</si>
  <si>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</si>
  <si>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</si>
  <si>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</si>
  <si>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</si>
  <si>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</si>
  <si>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</si>
  <si>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</si>
  <si>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</si>
  <si>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</si>
  <si>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</si>
  <si>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</si>
  <si>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</si>
  <si>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</si>
  <si>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</si>
  <si>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</si>
  <si>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</si>
  <si>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</si>
  <si>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</si>
  <si>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</si>
  <si>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</si>
  <si>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</si>
  <si>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</si>
  <si>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</si>
  <si>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</si>
  <si>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</si>
  <si>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</si>
  <si>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</si>
  <si>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</si>
  <si>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</si>
  <si>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</si>
  <si>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</si>
  <si>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</si>
  <si>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</si>
  <si>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</si>
  <si>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</si>
  <si>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</si>
  <si>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</si>
  <si>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</si>
  <si>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</si>
  <si>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</si>
  <si>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</si>
  <si>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</si>
  <si>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</si>
  <si>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</si>
  <si>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</si>
  <si>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</si>
  <si>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</si>
  <si>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</si>
  <si>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</si>
  <si>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</si>
  <si>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</si>
  <si>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</si>
  <si>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</si>
  <si>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</si>
  <si>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</si>
  <si>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</si>
  <si>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</si>
  <si>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</si>
  <si>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</si>
  <si>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</si>
  <si>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</si>
  <si>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</si>
  <si>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</si>
  <si>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</si>
  <si>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</si>
  <si>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</si>
  <si>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</si>
  <si>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</si>
  <si>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</si>
  <si>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</si>
  <si>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</si>
  <si>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</si>
  <si>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</si>
  <si>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</si>
  <si>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</si>
  <si>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</si>
  <si>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</si>
  <si>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</si>
  <si>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</si>
  <si>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</si>
  <si>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</si>
  <si>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</si>
  <si>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</si>
  <si>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</si>
  <si>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</si>
  <si>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</si>
  <si>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</si>
  <si>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</si>
  <si>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</si>
  <si>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</si>
  <si>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</si>
  <si>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</si>
  <si>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</si>
  <si>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</si>
  <si>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</si>
  <si>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</si>
  <si>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</si>
  <si>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</si>
  <si>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</si>
  <si>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</si>
  <si>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</si>
  <si>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</si>
  <si>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</si>
  <si>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</si>
  <si>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</si>
  <si>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</si>
  <si>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</si>
  <si>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</si>
  <si>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</si>
  <si>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</si>
  <si>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</si>
  <si>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</si>
  <si>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</si>
  <si>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</si>
  <si>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</si>
  <si>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</si>
  <si>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</si>
  <si>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</si>
  <si>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</si>
  <si>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</si>
  <si>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</si>
  <si>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</si>
  <si>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</si>
  <si>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</si>
  <si>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</si>
  <si>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</si>
  <si>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</si>
  <si>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</si>
  <si>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</si>
  <si>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</si>
  <si>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</si>
  <si>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</si>
  <si>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</si>
  <si>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</si>
  <si>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</si>
  <si>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</si>
  <si>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</si>
  <si>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</si>
  <si>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</si>
  <si>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</si>
  <si>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</si>
  <si>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</si>
  <si>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</si>
  <si>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</si>
  <si>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</si>
  <si>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</si>
  <si>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</si>
  <si>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</si>
  <si>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</si>
  <si>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</si>
  <si>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</si>
  <si>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</si>
  <si>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</si>
  <si>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</si>
  <si>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</si>
  <si>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</si>
  <si>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</si>
  <si>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</si>
  <si>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</si>
  <si>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</si>
  <si>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</si>
  <si>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</si>
  <si>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</si>
  <si>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</si>
  <si>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</si>
  <si>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</si>
  <si>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</si>
  <si>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</si>
  <si>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</si>
  <si>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</si>
  <si>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</si>
  <si>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</si>
  <si>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</si>
  <si>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</si>
  <si>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</si>
  <si>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</si>
  <si>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</si>
  <si>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</si>
  <si>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</si>
  <si>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</si>
  <si>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</si>
  <si>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</si>
  <si>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</si>
  <si>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</si>
  <si>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</si>
  <si>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</si>
  <si>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</si>
  <si>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</si>
  <si>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</si>
  <si>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</si>
  <si>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</si>
  <si>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</si>
  <si>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</si>
  <si>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</si>
  <si>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</si>
  <si>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</si>
  <si>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</si>
  <si>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</si>
  <si>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</si>
  <si>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</si>
  <si>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</si>
  <si>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</si>
  <si>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</si>
  <si>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</si>
  <si>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</si>
  <si>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</si>
  <si>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</si>
  <si>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</si>
  <si>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</si>
  <si>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</si>
  <si>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</si>
  <si>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</si>
  <si>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</si>
  <si>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</si>
  <si>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</si>
  <si>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</si>
  <si>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</si>
  <si>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</si>
  <si>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</si>
  <si>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</si>
  <si>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</si>
  <si>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</si>
  <si>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</si>
  <si>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</si>
  <si>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</si>
  <si>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</si>
  <si>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</si>
  <si>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</si>
  <si>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</si>
  <si>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</si>
  <si>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</si>
  <si>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</si>
  <si>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</si>
  <si>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</si>
  <si>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</si>
  <si>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</si>
  <si>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</si>
  <si>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</si>
  <si>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</si>
  <si>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</si>
  <si>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</si>
  <si>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</si>
  <si>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</si>
  <si>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</si>
  <si>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</si>
  <si>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</si>
  <si>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</si>
  <si>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</si>
  <si>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</si>
  <si>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</si>
  <si>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</si>
  <si>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</si>
  <si>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</si>
  <si>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</si>
  <si>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</si>
  <si>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</si>
  <si>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</si>
  <si>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</si>
  <si>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</si>
  <si>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</si>
  <si>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</si>
  <si>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</si>
  <si>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</si>
  <si>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</si>
  <si>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</si>
  <si>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</si>
  <si>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</si>
  <si>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</si>
  <si>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</si>
  <si>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</si>
  <si>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</si>
  <si>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</si>
  <si>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</si>
  <si>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</si>
  <si>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</si>
  <si>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</si>
  <si>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</si>
  <si>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</si>
  <si>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</si>
  <si>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</si>
  <si>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</si>
  <si>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</si>
  <si>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</si>
  <si>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</si>
  <si>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</si>
  <si>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</si>
  <si>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</si>
  <si>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</si>
  <si>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</si>
  <si>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</si>
  <si>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</si>
  <si>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</si>
  <si>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</si>
  <si>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</si>
  <si>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</si>
  <si>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</si>
  <si>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</si>
  <si>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</si>
  <si>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</si>
  <si>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</si>
  <si>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</si>
  <si>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</si>
  <si>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</si>
  <si>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</si>
  <si>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</si>
  <si>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</si>
  <si>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</si>
  <si>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</si>
  <si>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</si>
  <si>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</si>
  <si>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</si>
  <si>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</si>
  <si>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</si>
  <si>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</si>
  <si>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</si>
  <si>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</si>
  <si>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</si>
  <si>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</si>
  <si>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</si>
  <si>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</si>
  <si>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</si>
  <si>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</si>
  <si>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</si>
  <si>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</si>
  <si>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</si>
  <si>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</si>
  <si>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</si>
  <si>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</si>
  <si>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</si>
  <si>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</si>
  <si>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</si>
  <si>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</si>
  <si>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</si>
  <si>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</si>
  <si>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</si>
  <si>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</si>
  <si>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</si>
  <si>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</si>
  <si>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</si>
  <si>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</si>
  <si>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</si>
  <si>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</si>
  <si>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</si>
  <si>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</si>
  <si>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</si>
  <si>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</si>
  <si>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</si>
  <si>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</si>
  <si>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</si>
  <si>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</si>
  <si>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</si>
  <si>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</si>
  <si>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</si>
  <si>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</si>
  <si>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</si>
  <si>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</si>
  <si>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</si>
  <si>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</si>
  <si>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</si>
  <si>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</si>
  <si>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</si>
  <si>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</si>
  <si>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</si>
  <si>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</si>
  <si>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</si>
  <si>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</si>
  <si>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</si>
  <si>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</si>
  <si>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</si>
  <si>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</si>
  <si>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</si>
  <si>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</si>
  <si>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</si>
  <si>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</si>
  <si>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</si>
  <si>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</si>
  <si>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</si>
  <si>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</si>
  <si>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</si>
  <si>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</si>
  <si>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</si>
  <si>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</si>
  <si>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</si>
  <si>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</si>
  <si>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</si>
  <si>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</si>
  <si>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</si>
  <si>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</si>
  <si>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</si>
  <si>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</si>
  <si>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</si>
  <si>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</si>
  <si>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</si>
  <si>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</si>
  <si>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</si>
  <si>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</si>
  <si>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</si>
  <si>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</si>
  <si>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</si>
  <si>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</si>
  <si>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</si>
  <si>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</si>
  <si>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</si>
  <si>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</si>
  <si>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</si>
  <si>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</si>
  <si>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</si>
  <si>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</si>
  <si>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</si>
  <si>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</si>
  <si>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</si>
  <si>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</si>
  <si>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</si>
  <si>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</si>
  <si>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</si>
  <si>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</si>
  <si>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</si>
  <si>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</si>
  <si>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</si>
  <si>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</si>
  <si>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</si>
  <si>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</si>
  <si>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</si>
  <si>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</si>
  <si>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</si>
  <si>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</si>
  <si>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</si>
  <si>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</si>
  <si>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</si>
  <si>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</si>
  <si>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</si>
  <si>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</si>
  <si>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</si>
  <si>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</si>
  <si>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</si>
  <si>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</si>
  <si>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</si>
  <si>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</si>
  <si>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</si>
  <si>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</si>
  <si>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</si>
  <si>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</si>
  <si>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</si>
  <si>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</si>
  <si>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</si>
  <si>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</si>
  <si>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</si>
  <si>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</si>
  <si>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</si>
  <si>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</si>
  <si>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</si>
  <si>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</si>
  <si>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</si>
  <si>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</si>
  <si>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</si>
  <si>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</si>
  <si>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</si>
  <si>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</si>
  <si>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</si>
  <si>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</si>
  <si>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</si>
  <si>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</si>
  <si>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</si>
  <si>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</si>
  <si>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</si>
  <si>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</si>
  <si>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</si>
  <si>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</si>
  <si>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</si>
  <si>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</si>
  <si>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</si>
  <si>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</si>
  <si>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</si>
  <si>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</si>
  <si>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</si>
  <si>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</si>
  <si>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</si>
  <si>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</si>
  <si>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</si>
  <si>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</si>
  <si>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</si>
  <si>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</si>
  <si>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</si>
  <si>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</si>
  <si>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</si>
  <si>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</si>
  <si>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</si>
  <si>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</si>
  <si>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</si>
  <si>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</si>
  <si>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</si>
  <si>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</si>
  <si>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</si>
  <si>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</si>
  <si>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</si>
  <si>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</si>
  <si>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</si>
  <si>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</si>
  <si>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</si>
  <si>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</si>
  <si>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</si>
  <si>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</si>
  <si>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</si>
  <si>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</si>
  <si>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</si>
  <si>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</si>
  <si>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</si>
  <si>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</si>
  <si>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</si>
  <si>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</si>
  <si>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</si>
  <si>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</si>
  <si>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</si>
  <si>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</si>
  <si>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</si>
  <si>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</si>
  <si>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</si>
  <si>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</si>
  <si>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</si>
  <si>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</si>
  <si>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</si>
  <si>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</si>
  <si>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</si>
  <si>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</si>
  <si>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</si>
  <si>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</si>
  <si>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</si>
  <si>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</si>
  <si>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</si>
  <si>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</si>
  <si>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</si>
  <si>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</si>
  <si>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</si>
  <si>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</si>
  <si>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</si>
  <si>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</si>
  <si>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</si>
  <si>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</si>
  <si>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</si>
  <si>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</si>
  <si>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</si>
  <si>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</si>
  <si>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</si>
  <si>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</si>
  <si>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</si>
  <si>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</si>
  <si>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</si>
  <si>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</si>
  <si>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</si>
  <si>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</si>
  <si>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</si>
  <si>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</si>
  <si>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</si>
  <si>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</si>
  <si>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</si>
  <si>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</si>
  <si>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</si>
  <si>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</si>
  <si>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</si>
  <si>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</si>
  <si>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</si>
  <si>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</si>
  <si>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</si>
  <si>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</si>
  <si>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</si>
  <si>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</si>
  <si>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</si>
  <si>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</si>
  <si>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</si>
  <si>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</si>
  <si>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</si>
  <si>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</si>
  <si>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</si>
  <si>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</si>
  <si>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</si>
  <si>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</si>
  <si>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</si>
  <si>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</si>
  <si>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</si>
  <si>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</si>
  <si>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</si>
  <si>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</si>
  <si>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</si>
  <si>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</si>
  <si>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</si>
  <si>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</si>
  <si>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</si>
  <si>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</si>
  <si>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</si>
  <si>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</si>
  <si>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</si>
  <si>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</si>
  <si>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</si>
  <si>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</si>
  <si>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</si>
  <si>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</si>
  <si>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</si>
  <si>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</si>
  <si>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</si>
  <si>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</si>
  <si>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</si>
  <si>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</si>
  <si>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</si>
  <si>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</si>
  <si>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</si>
  <si>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</si>
  <si>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</si>
  <si>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</si>
  <si>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</si>
  <si>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</si>
  <si>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</si>
  <si>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</si>
  <si>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</si>
  <si>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</si>
  <si>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</si>
  <si>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</si>
  <si>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</si>
  <si>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</si>
  <si>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</si>
  <si>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</si>
  <si>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</si>
  <si>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</si>
  <si>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</si>
  <si>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</si>
  <si>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</si>
  <si>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</si>
  <si>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</si>
  <si>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</si>
  <si>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</si>
  <si>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</si>
  <si>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</si>
  <si>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</si>
  <si>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</si>
  <si>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</si>
  <si>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</si>
  <si>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</si>
  <si>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</si>
  <si>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</si>
  <si>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</si>
  <si>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</si>
  <si>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</si>
  <si>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</si>
  <si>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</si>
  <si>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</si>
  <si>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</si>
  <si>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</si>
  <si>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</si>
  <si>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</si>
  <si>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</si>
  <si>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</si>
  <si>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</si>
  <si>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</si>
  <si>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</si>
  <si>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</si>
  <si>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</si>
  <si>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</si>
  <si>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</si>
  <si>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</si>
  <si>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</si>
  <si>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</si>
  <si>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</si>
  <si>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</si>
  <si>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</si>
  <si>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</si>
  <si>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</si>
  <si>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</si>
  <si>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</si>
  <si>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</si>
  <si>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</si>
  <si>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</si>
  <si>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</si>
  <si>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</si>
  <si>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</si>
  <si>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</si>
  <si>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</si>
  <si>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</si>
  <si>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</si>
  <si>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</si>
  <si>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</si>
  <si>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</si>
  <si>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</si>
  <si>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</si>
  <si>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</si>
  <si>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</si>
  <si>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</si>
  <si>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</si>
  <si>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</si>
  <si>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</si>
  <si>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</si>
  <si>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</si>
  <si>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</si>
  <si>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</si>
  <si>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</si>
  <si>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</si>
  <si>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</si>
  <si>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</si>
  <si>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</si>
  <si>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</si>
  <si>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</si>
  <si>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</si>
  <si>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</si>
  <si>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</si>
  <si>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</si>
  <si>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</si>
  <si>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</si>
  <si>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</si>
  <si>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</si>
  <si>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</si>
  <si>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</si>
  <si>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</si>
  <si>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</si>
  <si>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</si>
  <si>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</si>
  <si>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</si>
  <si>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</si>
  <si>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</si>
  <si>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</si>
  <si>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</si>
  <si>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</si>
  <si>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</si>
  <si>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</si>
  <si>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</si>
  <si>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</si>
  <si>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</si>
  <si>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</si>
  <si>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</si>
  <si>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</si>
  <si>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</si>
  <si>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</si>
  <si>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</si>
  <si>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</si>
  <si>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</si>
  <si>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</si>
  <si>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</si>
  <si>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</si>
  <si>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</si>
  <si>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</si>
  <si>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</si>
  <si>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</si>
  <si>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</si>
  <si>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</si>
  <si>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</si>
  <si>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</si>
  <si>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</si>
  <si>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</si>
  <si>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</si>
  <si>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</si>
  <si>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</si>
  <si>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</si>
  <si>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</si>
  <si>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</si>
  <si>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</si>
  <si>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</si>
  <si>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</si>
  <si>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</si>
  <si>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</si>
  <si>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</si>
  <si>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</si>
  <si>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</si>
  <si>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</si>
  <si>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</si>
  <si>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</si>
  <si>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</si>
  <si>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</si>
  <si>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</si>
  <si>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</si>
  <si>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</si>
  <si>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</si>
  <si>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</si>
  <si>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</si>
  <si>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</si>
  <si>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</si>
  <si>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</si>
  <si>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</si>
  <si>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</si>
  <si>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</si>
  <si>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</si>
  <si>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</si>
  <si>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</si>
  <si>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</si>
  <si>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</si>
  <si>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</si>
  <si>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</si>
  <si>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</si>
  <si>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</si>
  <si>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</si>
  <si>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</si>
  <si>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</si>
  <si>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</si>
  <si>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</si>
  <si>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</si>
  <si>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</si>
  <si>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</si>
  <si>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</si>
  <si>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</si>
  <si>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</si>
  <si>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</si>
  <si>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</si>
  <si>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</si>
  <si>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</si>
  <si>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</si>
  <si>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</si>
  <si>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</si>
  <si>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</si>
  <si>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</si>
  <si>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</si>
  <si>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</si>
  <si>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</si>
  <si>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</si>
  <si>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</si>
  <si>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</si>
  <si>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</si>
  <si>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</si>
  <si>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</si>
  <si>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</si>
  <si>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</si>
  <si>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</si>
  <si>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</si>
  <si>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</si>
  <si>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</si>
  <si>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</si>
  <si>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</si>
  <si>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</si>
  <si>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</si>
  <si>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</si>
  <si>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</si>
  <si>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</si>
  <si>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</si>
  <si>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</si>
  <si>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</si>
  <si>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</si>
  <si>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</si>
  <si>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</si>
  <si>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</si>
  <si>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</si>
  <si>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</si>
  <si>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</si>
  <si>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</si>
  <si>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</si>
  <si>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</si>
  <si>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</si>
  <si>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</si>
  <si>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</si>
  <si>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</si>
  <si>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</si>
  <si>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</si>
  <si>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</si>
  <si>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</si>
  <si>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</si>
  <si>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</si>
  <si>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</si>
  <si>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</si>
  <si>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</si>
  <si>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</si>
  <si>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</si>
  <si>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</si>
  <si>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</si>
  <si>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</si>
  <si>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</si>
  <si>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</si>
  <si>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</si>
  <si>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</si>
  <si>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</si>
  <si>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</si>
  <si>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</si>
  <si>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</si>
  <si>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</si>
  <si>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</si>
  <si>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</si>
  <si>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</si>
  <si>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</si>
  <si>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</si>
  <si>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</si>
  <si>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</si>
  <si>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</si>
  <si>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</si>
  <si>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</si>
  <si>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</si>
  <si>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</si>
  <si>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</si>
  <si>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</si>
  <si>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</si>
  <si>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</si>
  <si>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</si>
  <si>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</si>
  <si>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</si>
  <si>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</si>
  <si>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</si>
  <si>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</si>
  <si>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</si>
  <si>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</si>
  <si>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</si>
  <si>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</si>
  <si>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</si>
  <si>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</si>
  <si>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</si>
  <si>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</si>
  <si>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</si>
  <si>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</si>
  <si>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</si>
  <si>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</si>
  <si>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</si>
  <si>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</si>
  <si>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</si>
  <si>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</si>
  <si>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</si>
  <si>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</si>
  <si>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</si>
  <si>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</si>
  <si>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</si>
  <si>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</si>
  <si>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</si>
  <si>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</si>
  <si>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</si>
  <si>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</si>
  <si>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</si>
  <si>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</si>
  <si>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</si>
  <si>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</si>
  <si>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</si>
  <si>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</si>
  <si>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</si>
  <si>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</si>
  <si>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</si>
  <si>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</si>
  <si>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</si>
  <si>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</si>
  <si>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</si>
  <si>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</si>
  <si>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</si>
  <si>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</si>
  <si>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</si>
  <si>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</si>
  <si>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</si>
  <si>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</si>
  <si>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</si>
  <si>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</si>
  <si>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</si>
  <si>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</si>
  <si>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</si>
  <si>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</si>
  <si>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</si>
  <si>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</si>
  <si>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</si>
  <si>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</si>
  <si>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</si>
  <si>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</si>
  <si>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</si>
  <si>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</si>
  <si>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</si>
  <si>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</si>
  <si>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</si>
  <si>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</si>
  <si>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</si>
  <si>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</si>
  <si>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</si>
  <si>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</si>
  <si>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</si>
  <si>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</si>
  <si>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</si>
  <si>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</si>
  <si>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</si>
  <si>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</si>
  <si>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</si>
  <si>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</si>
  <si>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</si>
  <si>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</si>
  <si>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</si>
  <si>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</si>
  <si>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</si>
  <si>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</si>
  <si>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</si>
  <si>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</si>
  <si>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</si>
  <si>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</si>
  <si>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</si>
  <si>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</si>
  <si>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</si>
  <si>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</si>
  <si>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</si>
  <si>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</si>
  <si>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</si>
  <si>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</si>
  <si>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</si>
  <si>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</si>
  <si>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</si>
  <si>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</si>
  <si>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</si>
  <si>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</si>
  <si>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</si>
  <si>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</si>
  <si>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</si>
  <si>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</si>
  <si>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</si>
  <si>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</si>
  <si>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</si>
  <si>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</si>
  <si>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</si>
  <si>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</si>
  <si>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</si>
  <si>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</si>
  <si>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</si>
  <si>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</si>
  <si>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</si>
  <si>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</si>
  <si>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</si>
  <si>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</si>
  <si>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</si>
  <si>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</si>
  <si>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</si>
  <si>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</si>
  <si>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</si>
  <si>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</si>
  <si>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</si>
  <si>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</si>
  <si>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</si>
  <si>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</si>
  <si>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</si>
  <si>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</si>
  <si>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</si>
  <si>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</si>
  <si>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</si>
  <si>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</si>
  <si>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</si>
  <si>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</si>
  <si>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</si>
  <si>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</si>
  <si>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</si>
  <si>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</si>
  <si>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</si>
  <si>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</si>
  <si>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</si>
  <si>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</si>
  <si>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</si>
  <si>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</si>
  <si>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</si>
  <si>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</si>
  <si>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</si>
  <si>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</si>
  <si>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</si>
  <si>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</si>
  <si>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</si>
  <si>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</si>
  <si>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</si>
  <si>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</si>
  <si>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</si>
  <si>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</si>
  <si>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</si>
  <si>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</si>
  <si>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</si>
  <si>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</si>
  <si>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</si>
  <si>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</si>
  <si>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</si>
  <si>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</si>
  <si>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</si>
  <si>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</si>
  <si>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</si>
  <si>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</si>
  <si>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</si>
  <si>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</si>
  <si>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</si>
  <si>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</si>
  <si>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</si>
  <si>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</si>
  <si>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</si>
  <si>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</si>
  <si>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</si>
  <si>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</si>
  <si>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</si>
  <si>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</si>
  <si>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</si>
  <si>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</si>
  <si>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</si>
  <si>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</si>
  <si>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</si>
  <si>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</si>
  <si>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</si>
  <si>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</si>
  <si>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</si>
  <si>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</si>
  <si>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</si>
  <si>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</si>
  <si>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</si>
  <si>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</si>
  <si>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</si>
  <si>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</si>
  <si>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</si>
  <si>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</si>
  <si>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</si>
  <si>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</si>
  <si>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</si>
  <si>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</si>
  <si>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</si>
  <si>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</si>
  <si>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</si>
  <si>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</si>
  <si>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</si>
  <si>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</si>
  <si>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</si>
  <si>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</si>
  <si>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</si>
  <si>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</si>
  <si>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</si>
  <si>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</si>
  <si>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</si>
  <si>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</si>
  <si>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</si>
  <si>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</si>
  <si>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</si>
  <si>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</si>
  <si>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</si>
  <si>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</si>
  <si>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</si>
  <si>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</si>
  <si>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</si>
  <si>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</si>
  <si>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</si>
  <si>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</si>
  <si>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</si>
  <si>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</si>
  <si>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</si>
  <si>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</si>
  <si>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</si>
  <si>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</si>
  <si>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</si>
  <si>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</si>
  <si>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</si>
  <si>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</si>
  <si>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</si>
  <si>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</si>
  <si>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</si>
  <si>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</si>
  <si>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</si>
  <si>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</si>
  <si>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</si>
  <si>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</si>
  <si>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</si>
  <si>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</si>
  <si>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</si>
  <si>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</si>
  <si>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</si>
  <si>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</si>
  <si>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</si>
  <si>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</si>
  <si>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</si>
  <si>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</si>
  <si>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</si>
  <si>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</si>
  <si>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</si>
  <si>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</si>
  <si>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</si>
  <si>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</si>
  <si>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</si>
  <si>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</si>
  <si>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</si>
  <si>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</si>
  <si>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</si>
  <si>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</si>
  <si>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</si>
  <si>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</si>
  <si>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</si>
  <si>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</si>
  <si>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</si>
  <si>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</si>
  <si>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</si>
  <si>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</si>
  <si>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</si>
  <si>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</si>
  <si>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</si>
  <si>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</si>
  <si>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</si>
  <si>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</si>
  <si>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</si>
  <si>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</si>
  <si>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</si>
  <si>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</si>
  <si>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</si>
  <si>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</si>
  <si>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</si>
  <si>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</si>
  <si>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</si>
  <si>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</si>
  <si>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</si>
  <si>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</si>
  <si>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</si>
  <si>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</si>
  <si>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</si>
  <si>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</si>
  <si>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</si>
  <si>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</si>
  <si>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</si>
  <si>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</si>
  <si>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</si>
  <si>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</si>
  <si>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</si>
  <si>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</si>
  <si>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</si>
  <si>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</si>
  <si>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</si>
  <si>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</si>
  <si>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</si>
  <si>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</si>
  <si>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</si>
  <si>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</si>
  <si>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</si>
  <si>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</si>
  <si>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</si>
  <si>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</si>
  <si>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</si>
  <si>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</si>
  <si>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</si>
  <si>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</si>
  <si>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</si>
  <si>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</si>
  <si>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</si>
  <si>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</si>
  <si>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</si>
  <si>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</si>
  <si>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</si>
  <si>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</si>
  <si>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</si>
  <si>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</si>
  <si>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</si>
  <si>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</si>
  <si>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</si>
  <si>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</si>
  <si>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</si>
  <si>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</si>
  <si>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</si>
  <si>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</si>
  <si>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</si>
  <si>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</si>
  <si>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</si>
  <si>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</si>
  <si>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</si>
  <si>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</si>
  <si>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</si>
  <si>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</si>
  <si>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</si>
  <si>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</si>
  <si>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</si>
  <si>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</si>
  <si>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</si>
  <si>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</si>
  <si>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</si>
  <si>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</si>
  <si>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</si>
  <si>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</si>
  <si>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</si>
  <si>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</si>
  <si>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</si>
  <si>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</si>
  <si>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</si>
  <si>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</si>
  <si>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</si>
  <si>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</si>
  <si>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</si>
  <si>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</si>
  <si>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</si>
  <si>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</si>
  <si>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</si>
  <si>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</si>
  <si>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</si>
  <si>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</si>
  <si>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</si>
  <si>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</si>
  <si>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</si>
  <si>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</si>
  <si>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</si>
  <si>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</si>
  <si>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</si>
  <si>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</si>
  <si>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</si>
  <si>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</si>
  <si>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</si>
  <si>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</si>
  <si>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</si>
  <si>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</si>
  <si>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</si>
  <si>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</si>
  <si>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</si>
  <si>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</si>
  <si>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</si>
  <si>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</si>
  <si>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</si>
  <si>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</si>
  <si>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</si>
  <si>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</si>
  <si>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</si>
  <si>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</si>
  <si>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</si>
  <si>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</si>
  <si>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</si>
  <si>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</si>
  <si>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</si>
  <si>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</si>
  <si>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</si>
  <si>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</si>
  <si>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</si>
  <si>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</si>
  <si>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</si>
  <si>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</si>
  <si>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</si>
  <si>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</si>
  <si>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</si>
  <si>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</si>
  <si>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</si>
  <si>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</si>
  <si>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</si>
  <si>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</si>
  <si>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</si>
  <si>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</si>
  <si>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</si>
  <si>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</si>
  <si>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</si>
  <si>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</si>
  <si>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</si>
  <si>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</si>
  <si>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</si>
  <si>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</si>
  <si>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</si>
  <si>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</si>
  <si>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</si>
  <si>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</si>
  <si>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</si>
  <si>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</si>
  <si>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</si>
  <si>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</si>
  <si>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</si>
  <si>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</si>
  <si>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</si>
  <si>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</si>
  <si>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</si>
  <si>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</si>
  <si>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</si>
  <si>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</si>
  <si>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</si>
  <si>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</si>
  <si>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</si>
  <si>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</si>
  <si>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</si>
  <si>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</si>
  <si>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</si>
  <si>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</si>
  <si>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</si>
  <si>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</si>
  <si>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</si>
  <si>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</si>
  <si>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</si>
  <si>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</si>
  <si>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</si>
  <si>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</si>
  <si>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</si>
  <si>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</si>
  <si>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</si>
  <si>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</si>
  <si>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</si>
  <si>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</si>
  <si>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</si>
  <si>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</si>
  <si>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</si>
  <si>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</si>
  <si>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</si>
  <si>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</si>
  <si>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</si>
  <si>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</si>
  <si>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</si>
  <si>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</si>
  <si>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</si>
  <si>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</si>
  <si>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</si>
  <si>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</si>
  <si>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</si>
  <si>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</si>
  <si>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</si>
  <si>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</si>
  <si>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</si>
  <si>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</si>
  <si>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</si>
  <si>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</si>
  <si>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</si>
  <si>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</si>
  <si>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</si>
  <si>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</si>
  <si>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</si>
  <si>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</si>
  <si>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</si>
  <si>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</si>
  <si>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</si>
  <si>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</si>
  <si>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</si>
  <si>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</si>
  <si>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</si>
  <si>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</si>
  <si>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</si>
  <si>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</si>
  <si>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</si>
  <si>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</si>
  <si>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</si>
  <si>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</si>
  <si>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</si>
  <si>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</si>
  <si>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</si>
  <si>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</si>
  <si>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</si>
  <si>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</si>
  <si>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</si>
  <si>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</si>
  <si>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</si>
  <si>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</si>
  <si>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</si>
  <si>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</si>
  <si>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</si>
  <si>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</si>
  <si>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</si>
  <si>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</si>
  <si>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</si>
  <si>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</si>
  <si>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</si>
  <si>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</si>
  <si>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</si>
  <si>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</si>
  <si>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</si>
  <si>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</si>
  <si>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</si>
  <si>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</si>
  <si>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</si>
  <si>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</si>
  <si>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</si>
  <si>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</si>
  <si>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</si>
  <si>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</si>
  <si>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</si>
  <si>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</si>
  <si>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</si>
  <si>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</si>
  <si>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</si>
  <si>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</si>
  <si>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</si>
  <si>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</si>
  <si>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</si>
  <si>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</si>
  <si>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</si>
  <si>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</si>
  <si>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</si>
  <si>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</si>
  <si>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</si>
  <si>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</si>
  <si>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</si>
  <si>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</si>
  <si>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</si>
  <si>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</si>
  <si>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</si>
  <si>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</si>
  <si>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</si>
  <si>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</si>
  <si>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</si>
  <si>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</si>
  <si>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</si>
  <si>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</si>
  <si>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</si>
  <si>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</si>
  <si>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</si>
  <si>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</si>
  <si>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</si>
  <si>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</si>
  <si>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</si>
  <si>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</si>
  <si>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</si>
  <si>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</si>
  <si>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</si>
  <si>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</si>
  <si>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</si>
  <si>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</si>
  <si>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</si>
  <si>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</si>
  <si>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</si>
  <si>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</si>
  <si>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</si>
  <si>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</si>
  <si>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</si>
  <si>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</si>
  <si>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</si>
  <si>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</si>
  <si>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</si>
  <si>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</si>
  <si>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</si>
  <si>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</si>
  <si>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</si>
  <si>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</si>
  <si>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</si>
  <si>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</si>
  <si>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</si>
  <si>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</si>
  <si>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</si>
  <si>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</si>
  <si>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</si>
  <si>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</si>
  <si>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</si>
  <si>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</si>
  <si>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</si>
  <si>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</si>
  <si>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</si>
  <si>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</si>
  <si>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</si>
  <si>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</si>
  <si>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</si>
  <si>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</si>
  <si>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</si>
  <si>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</si>
  <si>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</si>
  <si>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</si>
  <si>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</si>
  <si>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</si>
  <si>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</si>
  <si>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</si>
  <si>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</si>
  <si>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</si>
  <si>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</si>
  <si>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</si>
  <si>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</si>
  <si>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</si>
  <si>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</si>
  <si>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</si>
  <si>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</si>
  <si>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</si>
  <si>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</si>
  <si>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</si>
  <si>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</si>
  <si>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</si>
  <si>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</si>
  <si>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</si>
  <si>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</si>
  <si>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</si>
  <si>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</si>
  <si>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</si>
  <si>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</si>
  <si>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</si>
  <si>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</si>
  <si>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</si>
  <si>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</si>
  <si>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</si>
  <si>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</si>
  <si>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</si>
  <si>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</si>
  <si>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</si>
  <si>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</si>
  <si>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</si>
  <si>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</si>
  <si>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</si>
  <si>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</si>
  <si>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</si>
  <si>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</si>
  <si>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</si>
  <si>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</si>
  <si>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</si>
  <si>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</si>
  <si>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</si>
  <si>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</si>
  <si>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</si>
  <si>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</si>
  <si>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</si>
  <si>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</si>
  <si>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</si>
  <si>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</si>
  <si>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</si>
  <si>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</si>
  <si>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</si>
  <si>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</si>
  <si>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</si>
  <si>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</si>
  <si>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</si>
  <si>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</si>
  <si>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</si>
  <si>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</si>
  <si>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</si>
  <si>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</si>
  <si>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</si>
  <si>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</si>
  <si>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</si>
  <si>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</si>
  <si>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</si>
  <si>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</si>
  <si>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</si>
  <si>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</si>
  <si>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</si>
  <si>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</si>
  <si>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</si>
  <si>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</si>
  <si>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</si>
  <si>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</si>
  <si>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</si>
  <si>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</si>
  <si>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</si>
  <si>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</si>
  <si>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</si>
  <si>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</si>
  <si>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</si>
  <si>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</si>
  <si>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</si>
  <si>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</si>
  <si>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</si>
  <si>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</si>
  <si>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</si>
  <si>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</si>
  <si>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</si>
  <si>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</si>
  <si>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</si>
  <si>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</si>
  <si>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</si>
  <si>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</si>
  <si>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</si>
  <si>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</si>
  <si>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</si>
  <si>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</si>
  <si>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</si>
  <si>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</si>
  <si>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</si>
  <si>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</si>
  <si>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</si>
  <si>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</si>
  <si>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</si>
  <si>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</si>
  <si>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</si>
  <si>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</si>
  <si>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</si>
  <si>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</si>
  <si>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</si>
  <si>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</si>
  <si>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</si>
  <si>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</si>
  <si>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</si>
  <si>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</si>
  <si>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</si>
  <si>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</si>
  <si>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</si>
  <si>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</si>
  <si>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</si>
  <si>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</si>
  <si>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</si>
  <si>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</si>
  <si>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</si>
  <si>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</si>
  <si>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</si>
  <si>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</si>
  <si>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</si>
  <si>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</si>
  <si>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</si>
  <si>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</si>
  <si>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</si>
  <si>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</si>
  <si>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</si>
  <si>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</si>
  <si>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</si>
  <si>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</si>
  <si>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</si>
  <si>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</si>
  <si>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</si>
  <si>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</si>
  <si>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</si>
  <si>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</si>
  <si>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</si>
  <si>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</si>
  <si>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</si>
  <si>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</si>
  <si>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</si>
  <si>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</si>
  <si>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</si>
  <si>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</si>
  <si>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</si>
  <si>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</si>
  <si>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</si>
  <si>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</si>
  <si>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</si>
  <si>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</si>
  <si>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</si>
  <si>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</si>
  <si>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</si>
  <si>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</si>
  <si>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</si>
  <si>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</si>
  <si>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</si>
  <si>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</si>
  <si>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</si>
  <si>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</si>
  <si>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</si>
  <si>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</si>
  <si>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</si>
  <si>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</si>
  <si>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</si>
  <si>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</si>
  <si>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</si>
  <si>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</si>
  <si>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</si>
  <si>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</si>
  <si>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</si>
  <si>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</si>
  <si>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</si>
  <si>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</si>
  <si>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</si>
  <si>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</si>
  <si>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</si>
  <si>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</si>
  <si>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</si>
  <si>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</si>
  <si>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</si>
  <si>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</si>
  <si>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</si>
  <si>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</si>
  <si>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</si>
  <si>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</si>
  <si>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</si>
  <si>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</si>
  <si>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</si>
  <si>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</si>
  <si>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</si>
  <si>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</si>
  <si>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</si>
  <si>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</si>
  <si>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</si>
  <si>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</si>
  <si>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</si>
  <si>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</si>
  <si>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</si>
  <si>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</si>
  <si>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</si>
  <si>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</si>
  <si>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</si>
  <si>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</si>
  <si>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</si>
  <si>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</si>
  <si>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</si>
  <si>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</si>
  <si>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</si>
  <si>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</si>
  <si>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</si>
  <si>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</si>
  <si>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</si>
  <si>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</si>
  <si>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</si>
  <si>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</si>
  <si>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</si>
  <si>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</si>
  <si>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</si>
  <si>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</si>
  <si>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</si>
  <si>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</si>
  <si>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</si>
  <si>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</si>
  <si>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</si>
  <si>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</si>
  <si>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</si>
  <si>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</si>
  <si>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</si>
  <si>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</si>
  <si>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</si>
  <si>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</si>
  <si>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</si>
  <si>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</si>
  <si>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</si>
  <si>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</si>
  <si>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</si>
  <si>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</si>
  <si>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</si>
  <si>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</si>
  <si>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</si>
  <si>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</si>
  <si>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</si>
  <si>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</si>
  <si>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</si>
  <si>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</si>
  <si>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</si>
  <si>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</si>
  <si>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</si>
  <si>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</si>
  <si>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</si>
  <si>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</si>
  <si>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</si>
  <si>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</si>
  <si>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</si>
  <si>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</si>
  <si>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</si>
  <si>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</si>
  <si>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</si>
  <si>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</si>
  <si>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</si>
  <si>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</si>
  <si>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</si>
  <si>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</si>
  <si>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</si>
  <si>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</si>
  <si>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</si>
  <si>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</si>
  <si>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</si>
  <si>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</si>
  <si>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</si>
  <si>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</si>
  <si>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</si>
  <si>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</si>
  <si>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</si>
  <si>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</si>
  <si>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</si>
  <si>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</si>
  <si>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</si>
  <si>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</si>
  <si>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</si>
  <si>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</si>
  <si>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</si>
  <si>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</si>
  <si>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</si>
  <si>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</si>
  <si>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</si>
  <si>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</si>
  <si>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</si>
  <si>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</si>
  <si>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</si>
  <si>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</si>
  <si>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</si>
  <si>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</si>
  <si>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</si>
  <si>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</si>
  <si>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</si>
  <si>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</si>
  <si>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</si>
  <si>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</si>
  <si>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</si>
  <si>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</si>
  <si>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</si>
  <si>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</si>
  <si>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</si>
  <si>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</si>
  <si>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</si>
  <si>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</si>
  <si>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</si>
  <si>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</si>
  <si>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</si>
  <si>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</si>
  <si>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</si>
  <si>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</si>
  <si>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</si>
  <si>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</si>
  <si>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</si>
  <si>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</si>
  <si>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</si>
  <si>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</si>
  <si>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</si>
  <si>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</si>
  <si>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</si>
  <si>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</si>
  <si>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</si>
  <si>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</si>
  <si>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</si>
  <si>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</si>
  <si>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</si>
  <si>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</si>
  <si>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</si>
  <si>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</si>
  <si>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</si>
  <si>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</si>
  <si>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</si>
  <si>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</si>
  <si>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</si>
  <si>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</si>
  <si>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</si>
  <si>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</si>
  <si>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</si>
  <si>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</si>
  <si>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</si>
  <si>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</si>
  <si>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</si>
  <si>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</si>
  <si>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</si>
  <si>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</si>
  <si>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</si>
  <si>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</si>
  <si>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</si>
  <si>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</si>
  <si>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</si>
  <si>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</si>
  <si>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</si>
  <si>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</si>
  <si>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</si>
  <si>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</si>
  <si>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</si>
  <si>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</si>
  <si>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</si>
  <si>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</si>
  <si>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</si>
  <si>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</si>
  <si>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</si>
  <si>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</si>
  <si>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</si>
  <si>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</si>
  <si>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</si>
  <si>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</si>
  <si>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</si>
  <si>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</si>
  <si>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</si>
  <si>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</si>
  <si>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</si>
  <si>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</si>
  <si>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</si>
  <si>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</si>
  <si>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</si>
  <si>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</si>
  <si>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</si>
  <si>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</si>
  <si>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</si>
  <si>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</si>
  <si>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</si>
  <si>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</si>
  <si>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</si>
  <si>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</si>
  <si>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</si>
  <si>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</si>
  <si>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</si>
  <si>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</si>
  <si>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</si>
  <si>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</si>
  <si>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</si>
  <si>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</si>
  <si>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</si>
  <si>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</si>
  <si>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</si>
  <si>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</si>
  <si>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</si>
  <si>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</si>
  <si>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</si>
  <si>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</si>
  <si>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</si>
  <si>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</si>
  <si>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</si>
  <si>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</si>
  <si>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</si>
  <si>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</si>
  <si>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</si>
  <si>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</si>
  <si>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</si>
  <si>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</si>
  <si>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</si>
  <si>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</si>
  <si>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</si>
  <si>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</si>
  <si>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</si>
  <si>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</si>
  <si>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</si>
  <si>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</si>
  <si>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</si>
  <si>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</si>
  <si>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</si>
  <si>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</si>
  <si>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</si>
  <si>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</si>
  <si>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</si>
  <si>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</si>
  <si>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</si>
  <si>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</si>
  <si>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</si>
  <si>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</si>
  <si>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</si>
  <si>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</si>
  <si>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</si>
  <si>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</si>
  <si>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</si>
  <si>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</si>
  <si>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</si>
  <si>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</si>
  <si>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</si>
  <si>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</si>
  <si>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</si>
  <si>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</si>
  <si>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</si>
  <si>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</si>
  <si>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</si>
  <si>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</si>
  <si>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</si>
  <si>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</si>
  <si>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</si>
  <si>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</si>
  <si>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</si>
  <si>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</si>
  <si>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</si>
  <si>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</si>
  <si>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</si>
  <si>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</si>
  <si>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</si>
  <si>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</si>
  <si>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</si>
  <si>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</si>
  <si>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</si>
  <si>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</si>
  <si>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</si>
  <si>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</si>
  <si>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</si>
  <si>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</si>
  <si>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</si>
  <si>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</si>
  <si>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</si>
  <si>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</si>
  <si>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</si>
  <si>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</si>
  <si>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</si>
  <si>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</si>
  <si>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</si>
  <si>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</si>
  <si>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</si>
  <si>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</si>
  <si>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</si>
  <si>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</si>
  <si>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</si>
  <si>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</si>
  <si>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</si>
  <si>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</si>
  <si>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</si>
  <si>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</si>
  <si>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</si>
  <si>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</si>
  <si>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</si>
  <si>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</si>
  <si>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</si>
  <si>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</si>
  <si>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</si>
  <si>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</si>
  <si>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</si>
  <si>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</si>
  <si>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</si>
  <si>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</si>
  <si>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</si>
  <si>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</si>
  <si>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</si>
  <si>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</si>
  <si>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</si>
  <si>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</si>
  <si>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</si>
  <si>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</si>
  <si>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</si>
  <si>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</si>
  <si>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</si>
  <si>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</si>
  <si>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</si>
  <si>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</si>
  <si>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</si>
  <si>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</si>
  <si>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</si>
  <si>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</si>
  <si>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</si>
  <si>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</si>
  <si>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</si>
  <si>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</si>
  <si>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</si>
  <si>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</si>
  <si>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</si>
  <si>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</si>
  <si>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</si>
  <si>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</si>
  <si>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</si>
  <si>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</si>
  <si>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</si>
  <si>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</si>
  <si>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</si>
  <si>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</si>
  <si>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</si>
  <si>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</si>
  <si>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</si>
  <si>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</si>
  <si>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</si>
  <si>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</si>
  <si>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</si>
  <si>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</si>
  <si>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</si>
  <si>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</si>
  <si>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</si>
  <si>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</si>
  <si>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</si>
  <si>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</si>
  <si>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</si>
  <si>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</si>
  <si>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</si>
  <si>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</si>
  <si>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</si>
  <si>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</si>
  <si>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</si>
  <si>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</si>
  <si>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</si>
  <si>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</si>
  <si>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</si>
  <si>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</si>
  <si>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</si>
  <si>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</si>
  <si>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</si>
  <si>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</si>
  <si>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</si>
  <si>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</si>
  <si>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</si>
  <si>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</si>
  <si>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</si>
  <si>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</si>
  <si>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</si>
  <si>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</si>
  <si>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</si>
  <si>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</si>
  <si>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</si>
  <si>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</si>
  <si>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</si>
  <si>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</si>
  <si>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</si>
  <si>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</si>
  <si>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</si>
  <si>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</si>
  <si>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</si>
  <si>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</si>
  <si>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</si>
  <si>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</si>
  <si>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</si>
  <si>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</si>
  <si>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</si>
  <si>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</si>
  <si>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</si>
  <si>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</si>
  <si>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</si>
  <si>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</si>
  <si>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</si>
  <si>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</si>
  <si>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</si>
  <si>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</si>
  <si>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</si>
  <si>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</si>
  <si>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</si>
  <si>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</si>
  <si>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</si>
  <si>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</si>
  <si>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</si>
  <si>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</si>
  <si>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</si>
  <si>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</si>
  <si>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</si>
  <si>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</si>
  <si>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</si>
  <si>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</si>
  <si>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</si>
  <si>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</si>
  <si>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</si>
  <si>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</si>
  <si>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</si>
  <si>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</si>
  <si>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</si>
  <si>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</si>
  <si>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</si>
  <si>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</si>
  <si>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</si>
  <si>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</si>
  <si>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</si>
  <si>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</si>
  <si>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</si>
  <si>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</si>
  <si>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</si>
  <si>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</si>
  <si>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</si>
  <si>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</si>
  <si>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</si>
  <si>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</si>
  <si>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</si>
  <si>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</si>
  <si>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</si>
  <si>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</si>
  <si>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</si>
  <si>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</si>
  <si>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</si>
  <si>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</si>
  <si>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</si>
  <si>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</si>
  <si>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</si>
  <si>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</si>
  <si>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</si>
  <si>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</si>
  <si>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</si>
  <si>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</si>
  <si>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</si>
  <si>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</si>
  <si>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</si>
  <si>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</si>
  <si>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</si>
  <si>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</si>
  <si>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</si>
  <si>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</si>
  <si>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</si>
  <si>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</si>
  <si>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</si>
  <si>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</si>
  <si>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</si>
  <si>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</si>
  <si>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</si>
  <si>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</si>
  <si>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</si>
  <si>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</si>
  <si>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</si>
  <si>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</si>
  <si>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</si>
  <si>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</si>
  <si>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</si>
  <si>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</si>
  <si>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</si>
  <si>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</si>
  <si>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</si>
  <si>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</si>
  <si>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</si>
  <si>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</si>
  <si>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</si>
  <si>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</si>
  <si>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</si>
  <si>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</si>
  <si>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</si>
  <si>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</si>
  <si>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</si>
  <si>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</si>
  <si>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</si>
  <si>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</si>
  <si>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</si>
  <si>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</si>
  <si>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</si>
  <si>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</si>
  <si>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</si>
  <si>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</si>
  <si>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</si>
  <si>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</si>
  <si>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</si>
  <si>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</si>
  <si>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</si>
  <si>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</si>
  <si>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</si>
  <si>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</si>
  <si>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</si>
  <si>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</si>
  <si>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</si>
  <si>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</si>
  <si>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</si>
  <si>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</si>
  <si>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</si>
  <si>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</si>
  <si>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</si>
  <si>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</si>
  <si>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</si>
  <si>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</si>
  <si>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</si>
  <si>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</si>
  <si>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</si>
  <si>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</si>
  <si>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</si>
  <si>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</si>
  <si>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</si>
  <si>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</si>
  <si>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</si>
  <si>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</si>
  <si>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</si>
  <si>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</si>
  <si>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</si>
  <si>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</si>
  <si>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</si>
  <si>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</si>
  <si>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</si>
  <si>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</si>
  <si>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</si>
  <si>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</si>
  <si>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</si>
  <si>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</si>
  <si>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</si>
  <si>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</si>
  <si>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</si>
  <si>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</si>
  <si>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</si>
  <si>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</si>
  <si>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</si>
  <si>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</si>
  <si>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</si>
  <si>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</si>
  <si>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</si>
  <si>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</si>
  <si>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</si>
  <si>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</si>
  <si>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</si>
  <si>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</si>
  <si>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</si>
  <si>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</si>
  <si>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</si>
  <si>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</si>
  <si>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</si>
  <si>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</si>
  <si>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</si>
  <si>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</si>
  <si>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</si>
  <si>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</si>
  <si>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</si>
  <si>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</si>
  <si>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</si>
  <si>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</si>
  <si>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</si>
  <si>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</si>
  <si>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</si>
  <si>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</si>
  <si>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</si>
  <si>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</si>
  <si>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</si>
  <si>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</si>
  <si>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</si>
  <si>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</si>
  <si>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</si>
  <si>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</si>
  <si>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</si>
  <si>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</si>
  <si>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</si>
  <si>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</si>
  <si>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</si>
  <si>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</si>
  <si>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</si>
  <si>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</si>
  <si>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</si>
  <si>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</si>
  <si>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</si>
  <si>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</si>
  <si>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</si>
  <si>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</si>
  <si>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</si>
  <si>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</si>
  <si>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</si>
  <si>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</si>
  <si>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</si>
  <si>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</si>
  <si>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</si>
  <si>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</si>
  <si>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</si>
  <si>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</si>
  <si>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</si>
  <si>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</si>
  <si>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</si>
  <si>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</si>
  <si>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</si>
  <si>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</si>
  <si>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</si>
  <si>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</si>
  <si>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</si>
  <si>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</si>
  <si>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</si>
  <si>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</si>
  <si>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</si>
  <si>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</si>
  <si>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</si>
  <si>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</si>
  <si>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</si>
  <si>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</si>
  <si>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</si>
  <si>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</si>
  <si>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</si>
  <si>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</si>
  <si>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</si>
  <si>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</si>
  <si>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</si>
  <si>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</si>
  <si>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</si>
  <si>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</si>
  <si>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</si>
  <si>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</si>
  <si>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</si>
  <si>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</si>
  <si>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</si>
  <si>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</si>
  <si>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</si>
  <si>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</si>
  <si>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</si>
  <si>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</si>
  <si>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</si>
  <si>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</si>
  <si>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</si>
  <si>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</si>
  <si>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</si>
  <si>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</si>
  <si>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</si>
  <si>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</si>
  <si>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</si>
  <si>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</si>
  <si>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</si>
  <si>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</si>
  <si>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</si>
  <si>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</si>
  <si>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</si>
  <si>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</si>
  <si>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</si>
  <si>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</si>
  <si>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</si>
  <si>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</si>
  <si>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</si>
  <si>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</si>
  <si>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</si>
  <si>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</si>
  <si>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</si>
  <si>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</si>
  <si>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</si>
  <si>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</si>
  <si>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</si>
  <si>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</si>
  <si>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</si>
  <si>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</si>
  <si>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</si>
  <si>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</si>
  <si>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</si>
  <si>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</si>
  <si>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</si>
  <si>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</si>
  <si>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</si>
  <si>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</si>
  <si>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</si>
  <si>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</si>
  <si>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</si>
  <si>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</si>
  <si>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</si>
  <si>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</si>
  <si>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</si>
  <si>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</si>
  <si>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</si>
  <si>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</si>
  <si>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</si>
  <si>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</si>
  <si>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</si>
  <si>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</si>
  <si>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</si>
  <si>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</si>
  <si>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</si>
  <si>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</si>
  <si>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</si>
  <si>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</si>
  <si>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</si>
  <si>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</si>
  <si>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</si>
  <si>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</si>
  <si>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</si>
  <si>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</si>
  <si>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</si>
  <si>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</si>
  <si>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</si>
  <si>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</si>
  <si>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</si>
  <si>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</si>
  <si>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</si>
  <si>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</si>
  <si>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</si>
  <si>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</si>
  <si>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</si>
  <si>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</si>
  <si>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</si>
  <si>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</si>
  <si>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</si>
  <si>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</si>
  <si>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</si>
  <si>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</si>
  <si>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</si>
  <si>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证号</t>
    <phoneticPr fontId="141" type="noConversion"/>
  </si>
  <si>
    <t>权利人</t>
    <phoneticPr fontId="141" type="noConversion"/>
  </si>
  <si>
    <t>北京新隆福文化投资有限公司</t>
    <phoneticPr fontId="141" type="noConversion"/>
  </si>
  <si>
    <t>坐落</t>
    <phoneticPr fontId="141" type="noConversion"/>
  </si>
  <si>
    <t>用途</t>
    <phoneticPr fontId="141" type="noConversion"/>
  </si>
  <si>
    <t>商业</t>
    <phoneticPr fontId="141" type="noConversion"/>
  </si>
  <si>
    <t>建筑总面积</t>
    <phoneticPr fontId="141" type="noConversion"/>
  </si>
  <si>
    <t>建筑总面积</t>
    <phoneticPr fontId="141" type="noConversion"/>
  </si>
  <si>
    <t>分摊土地面积</t>
    <phoneticPr fontId="141" type="noConversion"/>
  </si>
  <si>
    <t>容积率</t>
    <phoneticPr fontId="141" type="noConversion"/>
  </si>
  <si>
    <t>容积率</t>
    <phoneticPr fontId="141" type="noConversion"/>
  </si>
  <si>
    <t>房屋建筑面积</t>
    <phoneticPr fontId="141" type="noConversion"/>
  </si>
  <si>
    <t>建筑密度</t>
    <phoneticPr fontId="141" type="noConversion"/>
  </si>
  <si>
    <t>建筑密度</t>
    <phoneticPr fontId="141" type="noConversion"/>
  </si>
  <si>
    <t>土地使用权</t>
    <phoneticPr fontId="141" type="noConversion"/>
  </si>
  <si>
    <t>幢号</t>
    <phoneticPr fontId="141" type="noConversion"/>
  </si>
  <si>
    <t>方向/楼层</t>
    <phoneticPr fontId="141" type="noConversion"/>
  </si>
  <si>
    <t>结构</t>
    <phoneticPr fontId="141" type="noConversion"/>
  </si>
  <si>
    <t>建成年代</t>
    <phoneticPr fontId="141" type="noConversion"/>
  </si>
  <si>
    <t>建筑面积</t>
    <phoneticPr fontId="141" type="noConversion"/>
  </si>
  <si>
    <t>建筑面积</t>
    <phoneticPr fontId="141" type="noConversion"/>
  </si>
  <si>
    <t>混合</t>
    <phoneticPr fontId="141" type="noConversion"/>
  </si>
  <si>
    <t>证号</t>
    <phoneticPr fontId="141" type="noConversion"/>
  </si>
  <si>
    <t>权利人</t>
    <phoneticPr fontId="141" type="noConversion"/>
  </si>
  <si>
    <t>北京市东城区隆福寺街95号、钱粮胡同38号25幢</t>
    <phoneticPr fontId="141" type="noConversion"/>
  </si>
  <si>
    <t>楼层</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</si>
  <si>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</si>
  <si>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</si>
  <si>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</si>
  <si>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t>房屋所有权人</t>
    <phoneticPr fontId="141" type="noConversion"/>
  </si>
  <si>
    <t>北京市东城区隆福寺街95号、钱粮胡同38号10幢等13幢</t>
    <phoneticPr fontId="141" type="noConversion"/>
  </si>
  <si>
    <t>面积</t>
    <phoneticPr fontId="141" type="noConversion"/>
  </si>
  <si>
    <t>其它</t>
    <phoneticPr fontId="141" type="noConversion"/>
  </si>
  <si>
    <t>地上</t>
    <phoneticPr fontId="141" type="noConversion"/>
  </si>
  <si>
    <t>混合</t>
    <phoneticPr fontId="141" type="noConversion"/>
  </si>
  <si>
    <t>钢</t>
    <phoneticPr fontId="141" type="noConversion"/>
  </si>
  <si>
    <t>土地使用权人</t>
    <phoneticPr fontId="141" type="noConversion"/>
  </si>
  <si>
    <t>北京市东城区隆福寺街95号、钱粮胡同38号</t>
    <phoneticPr fontId="141" type="noConversion"/>
  </si>
  <si>
    <t>批发零售</t>
    <phoneticPr fontId="141" type="noConversion"/>
  </si>
  <si>
    <t>土地终止日期</t>
    <phoneticPr fontId="141" type="noConversion"/>
  </si>
  <si>
    <t>土地面积</t>
    <phoneticPr fontId="141" type="noConversion"/>
  </si>
  <si>
    <t>出让合同</t>
    <phoneticPr fontId="141" type="noConversion"/>
  </si>
  <si>
    <t>仅补缴12916.27平方米，对应建筑面积4666.17平方米</t>
    <phoneticPr fontId="141" type="noConversion"/>
  </si>
  <si>
    <t>单价</t>
    <phoneticPr fontId="141" type="noConversion"/>
  </si>
  <si>
    <t>是</t>
  </si>
  <si>
    <t>地上</t>
  </si>
  <si>
    <t>地下</t>
  </si>
  <si>
    <t>成新度</t>
  </si>
  <si>
    <t>1层</t>
    <phoneticPr fontId="141" type="noConversion"/>
  </si>
  <si>
    <t>东/1层</t>
    <phoneticPr fontId="141" type="noConversion"/>
  </si>
  <si>
    <t>北/1层</t>
    <phoneticPr fontId="141" type="noConversion"/>
  </si>
  <si>
    <t>楼层系数</t>
    <phoneticPr fontId="141" type="noConversion"/>
  </si>
  <si>
    <t>2层</t>
    <phoneticPr fontId="141" type="noConversion"/>
  </si>
  <si>
    <t>3层</t>
    <phoneticPr fontId="141" type="noConversion"/>
  </si>
  <si>
    <t>4层</t>
    <phoneticPr fontId="141" type="noConversion"/>
  </si>
  <si>
    <t>地下</t>
    <phoneticPr fontId="141" type="noConversion"/>
  </si>
  <si>
    <t>1层外</t>
    <phoneticPr fontId="141" type="noConversion"/>
  </si>
  <si>
    <t>1层内</t>
    <phoneticPr fontId="141" type="noConversion"/>
  </si>
  <si>
    <t>计算建筑面积</t>
    <phoneticPr fontId="141" type="noConversion"/>
  </si>
  <si>
    <t>测算租金</t>
    <phoneticPr fontId="141" type="noConversion"/>
  </si>
  <si>
    <t>收益法</t>
  </si>
  <si>
    <t>利息：取LPR加浮动点数</t>
  </si>
  <si>
    <t>好</t>
    <phoneticPr fontId="26" type="noConversion"/>
  </si>
  <si>
    <t>较好</t>
    <phoneticPr fontId="26" type="noConversion"/>
  </si>
  <si>
    <t>七通</t>
    <phoneticPr fontId="26" type="noConversion"/>
  </si>
  <si>
    <t>支路</t>
    <phoneticPr fontId="26" type="noConversion"/>
  </si>
  <si>
    <t>成本法</t>
  </si>
  <si>
    <t>现房</t>
  </si>
  <si>
    <t>押一</t>
  </si>
  <si>
    <t>按租金收入计税</t>
  </si>
  <si>
    <t>非生产用房</t>
  </si>
  <si>
    <t>否</t>
  </si>
  <si>
    <t>已包含在土地取得成本中</t>
  </si>
  <si>
    <t>未包含在土地购买价格中</t>
  </si>
  <si>
    <t>总价</t>
  </si>
  <si>
    <t>成本比率</t>
  </si>
  <si>
    <r>
      <t>X京房权证东字第</t>
    </r>
    <r>
      <rPr>
        <sz val="11"/>
        <color theme="1"/>
        <rFont val="宋体"/>
        <family val="3"/>
        <charset val="134"/>
        <scheme val="minor"/>
      </rPr>
      <t>104791号</t>
    </r>
    <phoneticPr fontId="141" type="noConversion"/>
  </si>
  <si>
    <r>
      <rPr>
        <sz val="10"/>
        <rFont val="宋体"/>
        <family val="3"/>
        <charset val="134"/>
      </rPr>
      <t>《不动产权证书》</t>
    </r>
    <r>
      <rPr>
        <sz val="10"/>
        <rFont val="Arial"/>
        <family val="2"/>
      </rPr>
      <t>[X</t>
    </r>
    <r>
      <rPr>
        <sz val="10"/>
        <rFont val="宋体"/>
        <family val="3"/>
        <charset val="134"/>
      </rPr>
      <t>京房权证东字第</t>
    </r>
    <r>
      <rPr>
        <sz val="10"/>
        <rFont val="Arial"/>
        <family val="2"/>
      </rPr>
      <t>104791</t>
    </r>
    <r>
      <rPr>
        <sz val="10"/>
        <rFont val="宋体"/>
        <family val="3"/>
        <charset val="134"/>
      </rPr>
      <t>号</t>
    </r>
    <r>
      <rPr>
        <sz val="10"/>
        <rFont val="Arial"/>
        <family val="2"/>
      </rPr>
      <t>]</t>
    </r>
    <r>
      <rPr>
        <sz val="10"/>
        <color theme="9" tint="-0.249977111117893"/>
        <rFont val="宋体"/>
        <family val="3"/>
        <charset val="134"/>
      </rPr>
      <t/>
    </r>
    <phoneticPr fontId="7"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</si>
  <si>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</si>
  <si>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00252</t>
    </r>
    <r>
      <rPr>
        <sz val="10"/>
        <rFont val="宋体"/>
        <family val="3"/>
        <charset val="134"/>
      </rPr>
      <t>号</t>
    </r>
    <r>
      <rPr>
        <sz val="10"/>
        <rFont val="Arial"/>
        <family val="2"/>
      </rPr>
      <t>]</t>
    </r>
    <phoneticPr fontId="7" type="noConversion"/>
  </si>
  <si>
    <t>独立商业</t>
  </si>
  <si>
    <t>大厦地上</t>
    <phoneticPr fontId="4" type="noConversion"/>
  </si>
  <si>
    <t>大厦地下</t>
    <phoneticPr fontId="4" type="noConversion"/>
  </si>
  <si>
    <t>后院</t>
    <phoneticPr fontId="4" type="noConversion"/>
  </si>
  <si>
    <t>地下参考仓库租金</t>
    <phoneticPr fontId="141" type="noConversion"/>
  </si>
  <si>
    <t>北/1层</t>
    <phoneticPr fontId="141" type="noConversion"/>
  </si>
  <si>
    <t>东/1层</t>
    <phoneticPr fontId="141" type="noConversion"/>
  </si>
  <si>
    <t>西/1层</t>
    <phoneticPr fontId="141" type="noConversion"/>
  </si>
  <si>
    <t>5层及以上参考办公租金</t>
    <phoneticPr fontId="141" type="noConversion"/>
  </si>
  <si>
    <t>5层及以上参考办公租金</t>
    <phoneticPr fontId="141" type="noConversion"/>
  </si>
  <si>
    <t>计算建筑面积</t>
    <phoneticPr fontId="141" type="noConversion"/>
  </si>
  <si>
    <t>钢混</t>
  </si>
  <si>
    <t>容积率</t>
    <phoneticPr fontId="141" type="noConversion"/>
  </si>
  <si>
    <t>隆福大厦</t>
  </si>
  <si>
    <t>隆福大厦</t>
    <phoneticPr fontId="8" type="noConversion"/>
  </si>
  <si>
    <t>建筑面积</t>
    <phoneticPr fontId="4" type="noConversion"/>
  </si>
  <si>
    <t>地上办公</t>
    <phoneticPr fontId="4" type="noConversion"/>
  </si>
  <si>
    <t>地下车库</t>
    <phoneticPr fontId="4" type="noConversion"/>
  </si>
  <si>
    <t>全部缴纳</t>
  </si>
  <si>
    <t>单价</t>
    <phoneticPr fontId="141" type="noConversion"/>
  </si>
  <si>
    <t>面积</t>
    <phoneticPr fontId="141" type="noConversion"/>
  </si>
  <si>
    <t>总价</t>
    <phoneticPr fontId="141" type="noConversion"/>
  </si>
  <si>
    <t>地下1层</t>
    <phoneticPr fontId="141" type="noConversion"/>
  </si>
  <si>
    <t>地下2层</t>
    <phoneticPr fontId="141" type="noConversion"/>
  </si>
  <si>
    <t>地下3层</t>
    <phoneticPr fontId="141" type="noConversion"/>
  </si>
  <si>
    <r>
      <t>32.6</t>
    </r>
    <r>
      <rPr>
        <sz val="10"/>
        <color indexed="8"/>
        <rFont val="宋体"/>
        <family val="3"/>
        <charset val="134"/>
      </rPr>
      <t>亿</t>
    </r>
    <phoneticPr fontId="9" type="noConversion"/>
  </si>
  <si>
    <r>
      <t>17</t>
    </r>
    <r>
      <rPr>
        <sz val="10"/>
        <color indexed="8"/>
        <rFont val="宋体"/>
        <family val="3"/>
        <charset val="134"/>
      </rPr>
      <t>年</t>
    </r>
    <phoneticPr fontId="9" type="noConversion"/>
  </si>
  <si>
    <t>办公</t>
    <phoneticPr fontId="141" type="noConversion"/>
  </si>
  <si>
    <t>商业</t>
    <phoneticPr fontId="141" type="noConversion"/>
  </si>
  <si>
    <t>折算地上办公单价</t>
    <phoneticPr fontId="9" type="noConversion"/>
  </si>
  <si>
    <t>隆福大厦</t>
    <phoneticPr fontId="141" type="noConversion"/>
  </si>
  <si>
    <r>
      <t>18</t>
    </r>
    <r>
      <rPr>
        <sz val="10"/>
        <color indexed="8"/>
        <rFont val="宋体"/>
        <family val="3"/>
        <charset val="134"/>
      </rPr>
      <t>年后投入</t>
    </r>
    <phoneticPr fontId="9" type="noConversion"/>
  </si>
  <si>
    <t>19年至21年底后期改造费用7101万元。对应面积58230.2平方米。</t>
    <phoneticPr fontId="141" type="noConversion"/>
  </si>
  <si>
    <r>
      <t>7101</t>
    </r>
    <r>
      <rPr>
        <sz val="10"/>
        <color indexed="8"/>
        <rFont val="宋体"/>
        <family val="3"/>
        <charset val="134"/>
      </rPr>
      <t>万元</t>
    </r>
    <phoneticPr fontId="9" type="noConversion"/>
  </si>
  <si>
    <t>北京新隆福文化投资有限公司</t>
    <phoneticPr fontId="141" type="noConversion"/>
  </si>
  <si>
    <r>
      <t>北京市东城区隆福寺街95号、钱粮胡同38号</t>
    </r>
    <r>
      <rPr>
        <sz val="11"/>
        <color theme="1"/>
        <rFont val="宋体"/>
        <family val="3"/>
        <charset val="134"/>
        <scheme val="minor"/>
      </rPr>
      <t>16幢1层等5套</t>
    </r>
    <phoneticPr fontId="141" type="noConversion"/>
  </si>
  <si>
    <t>京（2016）东城区不动产权第0011478号</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</si>
  <si>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</si>
  <si>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抵押物名称</t>
  </si>
  <si>
    <t>出让国有建设用地使用权价值</t>
  </si>
  <si>
    <t>在建建筑物价值</t>
  </si>
  <si>
    <t>房地产价值</t>
  </si>
  <si>
    <t>总 价</t>
  </si>
  <si>
    <t>楼面单价</t>
  </si>
  <si>
    <t>商业多楼层</t>
  </si>
  <si>
    <t>楼层修正系数</t>
  </si>
  <si>
    <t>楼面熟地单价</t>
  </si>
  <si>
    <t>层面积</t>
  </si>
  <si>
    <t>总额</t>
  </si>
  <si>
    <t>吴薇</t>
  </si>
  <si>
    <r>
      <t>9</t>
    </r>
    <r>
      <rPr>
        <sz val="10"/>
        <color indexed="8"/>
        <rFont val="宋体"/>
        <family val="3"/>
        <charset val="134"/>
      </rPr>
      <t>幢不抵押</t>
    </r>
    <phoneticPr fontId="4" type="noConversion"/>
  </si>
  <si>
    <t>地下车库</t>
    <phoneticPr fontId="141" type="noConversion"/>
  </si>
  <si>
    <t>隆福北院商业</t>
    <phoneticPr fontId="141" type="noConversion"/>
  </si>
  <si>
    <t>土地面积</t>
    <phoneticPr fontId="141" type="noConversion"/>
  </si>
  <si>
    <t>地上总建筑面积</t>
    <phoneticPr fontId="141" type="noConversion"/>
  </si>
  <si>
    <t>序号</t>
  </si>
  <si>
    <t>《房屋所有权证》证号</t>
  </si>
  <si>
    <t>坐落</t>
  </si>
  <si>
    <r>
      <t>楼号</t>
    </r>
    <r>
      <rPr>
        <b/>
        <sz val="9"/>
        <color theme="1"/>
        <rFont val="Arial"/>
        <family val="2"/>
      </rPr>
      <t xml:space="preserve"> </t>
    </r>
  </si>
  <si>
    <t>所在楼层</t>
  </si>
  <si>
    <t>建筑面积（㎡）</t>
  </si>
  <si>
    <t>结构</t>
  </si>
  <si>
    <t>设定用途</t>
  </si>
  <si>
    <t>不动产权利人</t>
  </si>
  <si>
    <r>
      <t>X</t>
    </r>
    <r>
      <rPr>
        <sz val="9"/>
        <color theme="1"/>
        <rFont val="华文细黑"/>
        <family val="3"/>
        <charset val="134"/>
      </rPr>
      <t>京房权证东字第</t>
    </r>
    <r>
      <rPr>
        <sz val="9"/>
        <color theme="1"/>
        <rFont val="Arial"/>
        <family val="2"/>
      </rPr>
      <t>104791</t>
    </r>
    <r>
      <rPr>
        <sz val="9"/>
        <color theme="1"/>
        <rFont val="华文细黑"/>
        <family val="3"/>
        <charset val="134"/>
      </rPr>
      <t>号</t>
    </r>
  </si>
  <si>
    <r>
      <t>东城区隆福寺街</t>
    </r>
    <r>
      <rPr>
        <sz val="9"/>
        <color theme="1"/>
        <rFont val="Arial"/>
        <family val="2"/>
      </rPr>
      <t>95</t>
    </r>
    <r>
      <rPr>
        <sz val="9"/>
        <color theme="1"/>
        <rFont val="华文细黑"/>
        <family val="3"/>
        <charset val="134"/>
      </rPr>
      <t>号、钱粮胡同</t>
    </r>
    <r>
      <rPr>
        <sz val="9"/>
        <color theme="1"/>
        <rFont val="Arial"/>
        <family val="2"/>
      </rPr>
      <t>38</t>
    </r>
    <r>
      <rPr>
        <sz val="9"/>
        <color theme="1"/>
        <rFont val="华文细黑"/>
        <family val="3"/>
        <charset val="134"/>
      </rPr>
      <t>号</t>
    </r>
  </si>
  <si>
    <r>
      <t>2</t>
    </r>
    <r>
      <rPr>
        <sz val="9"/>
        <color theme="1"/>
        <rFont val="华文细黑"/>
        <family val="3"/>
        <charset val="134"/>
      </rPr>
      <t>幢</t>
    </r>
  </si>
  <si>
    <r>
      <t>1</t>
    </r>
    <r>
      <rPr>
        <sz val="9"/>
        <color theme="1"/>
        <rFont val="华文细黑"/>
        <family val="3"/>
        <charset val="134"/>
      </rPr>
      <t>至</t>
    </r>
    <r>
      <rPr>
        <sz val="9"/>
        <color theme="1"/>
        <rFont val="Arial"/>
        <family val="2"/>
      </rPr>
      <t>8</t>
    </r>
    <r>
      <rPr>
        <sz val="9"/>
        <color theme="1"/>
        <rFont val="华文细黑"/>
        <family val="3"/>
        <charset val="134"/>
      </rPr>
      <t>层</t>
    </r>
  </si>
  <si>
    <t>钢</t>
  </si>
  <si>
    <t>北京新隆福文化投资有限公司</t>
  </si>
  <si>
    <r>
      <t>地下</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t>
    </r>
  </si>
  <si>
    <r>
      <t>32</t>
    </r>
    <r>
      <rPr>
        <sz val="9"/>
        <color theme="1"/>
        <rFont val="华文细黑"/>
        <family val="3"/>
        <charset val="134"/>
      </rPr>
      <t>幢</t>
    </r>
  </si>
  <si>
    <t>混合</t>
  </si>
  <si>
    <r>
      <t>地下</t>
    </r>
    <r>
      <rPr>
        <sz val="9"/>
        <color theme="1"/>
        <rFont val="Arial"/>
        <family val="2"/>
      </rPr>
      <t>1</t>
    </r>
    <r>
      <rPr>
        <sz val="9"/>
        <color theme="1"/>
        <rFont val="华文细黑"/>
        <family val="3"/>
        <charset val="134"/>
      </rPr>
      <t>至</t>
    </r>
    <r>
      <rPr>
        <sz val="9"/>
        <color theme="1"/>
        <rFont val="Arial"/>
        <family val="2"/>
      </rPr>
      <t>3</t>
    </r>
    <r>
      <rPr>
        <sz val="9"/>
        <color theme="1"/>
        <rFont val="华文细黑"/>
        <family val="3"/>
        <charset val="134"/>
      </rPr>
      <t>层</t>
    </r>
  </si>
  <si>
    <r>
      <t>1</t>
    </r>
    <r>
      <rPr>
        <sz val="9"/>
        <color theme="1"/>
        <rFont val="华文细黑"/>
        <family val="3"/>
        <charset val="134"/>
      </rPr>
      <t>层</t>
    </r>
  </si>
  <si>
    <r>
      <t>1</t>
    </r>
    <r>
      <rPr>
        <sz val="9"/>
        <color theme="1"/>
        <rFont val="华文细黑"/>
        <family val="3"/>
        <charset val="134"/>
      </rPr>
      <t>层至</t>
    </r>
    <r>
      <rPr>
        <sz val="9"/>
        <color theme="1"/>
        <rFont val="Arial"/>
        <family val="2"/>
      </rPr>
      <t>2</t>
    </r>
    <r>
      <rPr>
        <sz val="9"/>
        <color theme="1"/>
        <rFont val="华文细黑"/>
        <family val="3"/>
        <charset val="134"/>
      </rPr>
      <t>层</t>
    </r>
  </si>
  <si>
    <r>
      <t>1</t>
    </r>
    <r>
      <rPr>
        <sz val="9"/>
        <color theme="1"/>
        <rFont val="华文细黑"/>
        <family val="3"/>
        <charset val="134"/>
      </rPr>
      <t>层至</t>
    </r>
    <r>
      <rPr>
        <sz val="9"/>
        <color theme="1"/>
        <rFont val="Arial"/>
        <family val="2"/>
      </rPr>
      <t>5</t>
    </r>
    <r>
      <rPr>
        <sz val="9"/>
        <color theme="1"/>
        <rFont val="华文细黑"/>
        <family val="3"/>
        <charset val="134"/>
      </rPr>
      <t>层</t>
    </r>
  </si>
  <si>
    <r>
      <t>地下</t>
    </r>
    <r>
      <rPr>
        <sz val="9"/>
        <color theme="1"/>
        <rFont val="Arial"/>
        <family val="2"/>
      </rPr>
      <t>1</t>
    </r>
    <r>
      <rPr>
        <sz val="9"/>
        <color theme="1"/>
        <rFont val="华文细黑"/>
        <family val="3"/>
        <charset val="134"/>
      </rPr>
      <t>层</t>
    </r>
  </si>
  <si>
    <r>
      <t>1</t>
    </r>
    <r>
      <rPr>
        <sz val="9"/>
        <color theme="1"/>
        <rFont val="华文细黑"/>
        <family val="3"/>
        <charset val="134"/>
      </rPr>
      <t>幢</t>
    </r>
  </si>
  <si>
    <t>其他</t>
  </si>
  <si>
    <r>
      <t>19</t>
    </r>
    <r>
      <rPr>
        <sz val="9"/>
        <color theme="1"/>
        <rFont val="华文细黑"/>
        <family val="3"/>
        <charset val="134"/>
      </rPr>
      <t>幢</t>
    </r>
  </si>
  <si>
    <r>
      <t>10</t>
    </r>
    <r>
      <rPr>
        <sz val="9"/>
        <color theme="1"/>
        <rFont val="华文细黑"/>
        <family val="3"/>
        <charset val="134"/>
      </rPr>
      <t>幢</t>
    </r>
  </si>
  <si>
    <r>
      <t>1</t>
    </r>
    <r>
      <rPr>
        <sz val="9"/>
        <color theme="1"/>
        <rFont val="华文细黑"/>
        <family val="3"/>
        <charset val="134"/>
      </rPr>
      <t>层至</t>
    </r>
    <r>
      <rPr>
        <sz val="9"/>
        <color theme="1"/>
        <rFont val="Arial"/>
        <family val="2"/>
      </rPr>
      <t>6</t>
    </r>
    <r>
      <rPr>
        <sz val="9"/>
        <color theme="1"/>
        <rFont val="华文细黑"/>
        <family val="3"/>
        <charset val="134"/>
      </rPr>
      <t>层</t>
    </r>
  </si>
  <si>
    <r>
      <t>11</t>
    </r>
    <r>
      <rPr>
        <sz val="9"/>
        <color theme="1"/>
        <rFont val="华文细黑"/>
        <family val="3"/>
        <charset val="134"/>
      </rPr>
      <t>幢</t>
    </r>
  </si>
  <si>
    <r>
      <t>12</t>
    </r>
    <r>
      <rPr>
        <sz val="9"/>
        <color theme="1"/>
        <rFont val="华文细黑"/>
        <family val="3"/>
        <charset val="134"/>
      </rPr>
      <t>幢</t>
    </r>
  </si>
  <si>
    <r>
      <t>1</t>
    </r>
    <r>
      <rPr>
        <sz val="9"/>
        <color theme="1"/>
        <rFont val="华文细黑"/>
        <family val="3"/>
        <charset val="134"/>
      </rPr>
      <t>层至</t>
    </r>
    <r>
      <rPr>
        <sz val="9"/>
        <color theme="1"/>
        <rFont val="Arial"/>
        <family val="2"/>
      </rPr>
      <t>7</t>
    </r>
    <r>
      <rPr>
        <sz val="9"/>
        <color theme="1"/>
        <rFont val="华文细黑"/>
        <family val="3"/>
        <charset val="134"/>
      </rPr>
      <t>层</t>
    </r>
  </si>
  <si>
    <r>
      <t>13</t>
    </r>
    <r>
      <rPr>
        <sz val="9"/>
        <color theme="1"/>
        <rFont val="华文细黑"/>
        <family val="3"/>
        <charset val="134"/>
      </rPr>
      <t>幢</t>
    </r>
  </si>
  <si>
    <r>
      <t>14</t>
    </r>
    <r>
      <rPr>
        <sz val="9"/>
        <color theme="1"/>
        <rFont val="华文细黑"/>
        <family val="3"/>
        <charset val="134"/>
      </rPr>
      <t>幢</t>
    </r>
  </si>
  <si>
    <r>
      <t>15</t>
    </r>
    <r>
      <rPr>
        <sz val="9"/>
        <color theme="1"/>
        <rFont val="华文细黑"/>
        <family val="3"/>
        <charset val="134"/>
      </rPr>
      <t>幢</t>
    </r>
  </si>
  <si>
    <r>
      <t>1</t>
    </r>
    <r>
      <rPr>
        <sz val="9"/>
        <color theme="1"/>
        <rFont val="华文细黑"/>
        <family val="3"/>
        <charset val="134"/>
      </rPr>
      <t>层至</t>
    </r>
    <r>
      <rPr>
        <sz val="9"/>
        <color theme="1"/>
        <rFont val="Arial"/>
        <family val="2"/>
      </rPr>
      <t>3</t>
    </r>
    <r>
      <rPr>
        <sz val="9"/>
        <color theme="1"/>
        <rFont val="华文细黑"/>
        <family val="3"/>
        <charset val="134"/>
      </rPr>
      <t>层</t>
    </r>
  </si>
  <si>
    <r>
      <t>17</t>
    </r>
    <r>
      <rPr>
        <sz val="9"/>
        <color theme="1"/>
        <rFont val="华文细黑"/>
        <family val="3"/>
        <charset val="134"/>
      </rPr>
      <t>幢</t>
    </r>
  </si>
  <si>
    <r>
      <t>18</t>
    </r>
    <r>
      <rPr>
        <sz val="9"/>
        <color theme="1"/>
        <rFont val="华文细黑"/>
        <family val="3"/>
        <charset val="134"/>
      </rPr>
      <t>幢</t>
    </r>
  </si>
  <si>
    <r>
      <t>估价对象</t>
    </r>
    <r>
      <rPr>
        <sz val="9"/>
        <color theme="1"/>
        <rFont val="Arial"/>
        <family val="2"/>
      </rPr>
      <t>2</t>
    </r>
    <r>
      <rPr>
        <sz val="9"/>
        <color theme="1"/>
        <rFont val="华文细黑"/>
        <family val="3"/>
        <charset val="134"/>
      </rPr>
      <t>小计</t>
    </r>
  </si>
  <si>
    <t>总计</t>
  </si>
  <si>
    <t>估价对象1小计</t>
    <phoneticPr fontId="141" type="noConversion"/>
  </si>
  <si>
    <r>
      <t>X</t>
    </r>
    <r>
      <rPr>
        <sz val="9"/>
        <color theme="1"/>
        <rFont val="宋体"/>
        <family val="3"/>
        <charset val="134"/>
      </rPr>
      <t>京房权证东字第</t>
    </r>
    <r>
      <rPr>
        <sz val="9"/>
        <color theme="1"/>
        <rFont val="Arial"/>
        <family val="2"/>
      </rPr>
      <t>104791</t>
    </r>
    <r>
      <rPr>
        <sz val="9"/>
        <color theme="1"/>
        <rFont val="宋体"/>
        <family val="3"/>
        <charset val="134"/>
      </rPr>
      <t>号</t>
    </r>
    <phoneticPr fontId="141" type="noConversion"/>
  </si>
  <si>
    <t>规划用途</t>
    <phoneticPr fontId="141" type="noConversion"/>
  </si>
  <si>
    <t>商业</t>
    <phoneticPr fontId="141" type="noConversion"/>
  </si>
  <si>
    <t>现状用途</t>
    <phoneticPr fontId="141" type="noConversion"/>
  </si>
  <si>
    <t>地下车库</t>
    <phoneticPr fontId="141" type="noConversion"/>
  </si>
  <si>
    <t>办公</t>
    <phoneticPr fontId="141" type="noConversion"/>
  </si>
  <si>
    <t>地下车库</t>
    <phoneticPr fontId="141" type="noConversion"/>
  </si>
  <si>
    <t>商业、办公</t>
    <phoneticPr fontId="141" type="noConversion"/>
  </si>
  <si>
    <t>地下仓储</t>
    <phoneticPr fontId="141" type="noConversion"/>
  </si>
  <si>
    <t>地下仓储</t>
    <phoneticPr fontId="141" type="noConversion"/>
  </si>
  <si>
    <t>地下商业</t>
    <phoneticPr fontId="141" type="noConversion"/>
  </si>
  <si>
    <t>隆福大厦</t>
    <phoneticPr fontId="141" type="noConversion"/>
  </si>
  <si>
    <t>北院9幢</t>
    <phoneticPr fontId="141" type="noConversion"/>
  </si>
  <si>
    <t>合计</t>
    <phoneticPr fontId="141" type="noConversion"/>
  </si>
  <si>
    <t>隆福大厦：写字楼可出租面积34554.51平方米，项目于2018年出租运营，2018-2021年租金收入分别为4964万元、10297万元、10114万元、9184万元，受疫情影响，近两年租金收入有所下降，2019-2021年平均租金收入7.8元/㎡/天，考虑到疫情仍有反复，2022年部分租约到期，并结合目前已签合同的情况，2022年平均租金取值8元/㎡/天，租金年增长率为每两年上涨5%，出租率为95%。隆福大厦底商可出租面积为2843平方米，项目于2019年出租运营，2019年-2021年租金收入分别为207万元，403万元、462万元。参照已签合同情况，2022年平均租金取值6元/㎡/天，租金年增长率为每两年上涨5%，出租率为100%。停车位收入，隆福大厦停车位150个，自2018年开始运营，2022年租金5元/小时。</t>
    <phoneticPr fontId="141" type="noConversion"/>
  </si>
  <si>
    <r>
      <t xml:space="preserve">                                                                                                 </t>
    </r>
    <r>
      <rPr>
        <b/>
        <sz val="16"/>
        <rFont val="宋体"/>
        <family val="3"/>
        <charset val="134"/>
      </rPr>
      <t>吧</t>
    </r>
    <r>
      <rPr>
        <b/>
        <sz val="16"/>
        <rFont val="Arial"/>
        <family val="2"/>
      </rPr>
      <t xml:space="preserve">       </t>
    </r>
    <phoneticPr fontId="4" type="noConversion"/>
  </si>
  <si>
    <r>
      <t xml:space="preserve">      </t>
    </r>
    <r>
      <rPr>
        <sz val="10"/>
        <rFont val="宋体"/>
        <family val="3"/>
        <charset val="134"/>
      </rPr>
      <t>慢慢，吗，吗吧吧吧</t>
    </r>
    <r>
      <rPr>
        <sz val="10"/>
        <rFont val="Arial"/>
        <family val="2"/>
      </rPr>
      <t xml:space="preserve">  </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</si>
</sst>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10"/>
      <name val="Arial"/>
      <family val="3"/>
      <charset val="134"/>
    </font>
    <font>
      <b/>
      <sz val="9"/>
      <color theme="1"/>
      <name val="华文细黑"/>
      <family val="3"/>
      <charset val="134"/>
    </font>
    <font>
      <b/>
      <sz val="9"/>
      <color theme="1"/>
      <name val="Arial"/>
      <family val="2"/>
    </font>
    <font>
      <sz val="9"/>
      <color theme="1"/>
      <name val="Arial"/>
      <family val="2"/>
    </font>
    <font>
      <sz val="9"/>
      <color theme="1"/>
      <name val="华文细黑"/>
      <family val="3"/>
      <charset val="134"/>
    </font>
    <font>
      <sz val="9"/>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3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99" fillId="9" borderId="0" xfId="0" applyFont="1" applyFill="1">
      <alignment vertical="center"/>
    </xf>
    <xf numFmtId="0" fontId="99" fillId="0" borderId="0" xfId="0" applyFont="1" applyAlignment="1">
      <alignment vertical="center" wrapText="1"/>
    </xf>
    <xf numFmtId="14" fontId="0" fillId="8" borderId="0" xfId="0" applyNumberFormat="1" applyFill="1">
      <alignment vertical="center"/>
    </xf>
    <xf numFmtId="0" fontId="0" fillId="0" borderId="0" xfId="0" applyFill="1">
      <alignment vertical="center"/>
    </xf>
    <xf numFmtId="0" fontId="99" fillId="9" borderId="0" xfId="0" applyFont="1" applyFill="1" applyAlignment="1">
      <alignment horizontal="center" vertical="center"/>
    </xf>
    <xf numFmtId="0" fontId="99" fillId="9" borderId="0" xfId="0" applyFont="1" applyFill="1" applyAlignment="1">
      <alignment horizontal="center" vertical="center" wrapText="1"/>
    </xf>
    <xf numFmtId="0" fontId="0" fillId="9" borderId="0" xfId="0" applyFill="1" applyAlignment="1">
      <alignment horizontal="center"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0" xfId="0" applyFont="1" applyFill="1" applyAlignment="1" applyProtection="1">
      <alignment vertical="center"/>
      <protection locked="0"/>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0" fillId="20" borderId="0" xfId="0" applyFill="1">
      <alignment vertical="center"/>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0" fillId="9" borderId="0" xfId="0" applyFill="1" applyAlignment="1">
      <alignment vertical="center" wrapText="1"/>
    </xf>
    <xf numFmtId="0" fontId="80" fillId="0" borderId="0" xfId="0" applyFont="1" applyFill="1" applyAlignment="1" applyProtection="1">
      <alignment vertical="center" wrapText="1"/>
      <protection locked="0"/>
    </xf>
    <xf numFmtId="0" fontId="0" fillId="9" borderId="0" xfId="0" applyFill="1" applyAlignment="1">
      <alignment horizontal="center" vertical="center" wrapText="1"/>
    </xf>
    <xf numFmtId="0" fontId="0" fillId="0" borderId="0" xfId="0" applyAlignment="1">
      <alignment horizontal="center" vertical="center" wrapText="1"/>
    </xf>
    <xf numFmtId="0" fontId="80" fillId="12" borderId="0" xfId="0" applyFont="1" applyFill="1" applyAlignment="1" applyProtection="1">
      <alignment vertical="center"/>
      <protection locked="0"/>
    </xf>
    <xf numFmtId="0" fontId="84" fillId="3" borderId="0" xfId="0" applyFont="1" applyFill="1" applyAlignment="1" applyProtection="1">
      <alignment vertical="center"/>
      <protection locked="0"/>
    </xf>
    <xf numFmtId="0" fontId="145" fillId="3" borderId="0" xfId="0" applyFont="1" applyFill="1" applyAlignment="1" applyProtection="1">
      <alignment vertical="center"/>
      <protection locked="0"/>
    </xf>
    <xf numFmtId="0" fontId="80" fillId="6" borderId="0" xfId="0" applyFont="1" applyFill="1" applyProtection="1">
      <alignment vertical="center"/>
      <protection locked="0"/>
    </xf>
    <xf numFmtId="0" fontId="47" fillId="6" borderId="1" xfId="0"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xf>
    <xf numFmtId="0" fontId="256" fillId="12" borderId="0" xfId="0" applyFont="1" applyFill="1" applyAlignment="1" applyProtection="1">
      <alignment vertical="center"/>
      <protection locked="0"/>
    </xf>
    <xf numFmtId="0" fontId="50" fillId="20" borderId="0" xfId="0" applyFont="1" applyFill="1" applyAlignment="1" applyProtection="1">
      <alignment vertical="center"/>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258" fillId="0" borderId="160" xfId="0" applyFont="1" applyBorder="1">
      <alignment vertical="center"/>
    </xf>
    <xf numFmtId="0" fontId="258" fillId="0" borderId="161" xfId="0" applyFont="1" applyBorder="1">
      <alignment vertical="center"/>
    </xf>
    <xf numFmtId="0" fontId="261" fillId="0" borderId="164" xfId="0" applyFont="1" applyBorder="1">
      <alignment vertical="center"/>
    </xf>
    <xf numFmtId="0" fontId="260" fillId="0" borderId="164" xfId="0" applyFont="1" applyBorder="1">
      <alignment vertical="center"/>
    </xf>
    <xf numFmtId="0" fontId="260" fillId="0" borderId="162" xfId="0" applyFont="1" applyBorder="1">
      <alignment vertical="center"/>
    </xf>
    <xf numFmtId="0" fontId="135" fillId="0" borderId="1" xfId="0" applyFont="1" applyFill="1" applyBorder="1" applyAlignment="1" applyProtection="1">
      <alignment horizontal="left" vertical="center" wrapText="1"/>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257"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257"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0" fillId="0" borderId="36" xfId="0" applyBorder="1" applyAlignment="1">
      <alignment horizontal="center" vertical="center"/>
    </xf>
    <xf numFmtId="182" fontId="0" fillId="0" borderId="0" xfId="0" applyNumberFormat="1" applyAlignment="1">
      <alignment horizontal="center" vertical="center"/>
    </xf>
    <xf numFmtId="0" fontId="260" fillId="0" borderId="165" xfId="0" applyFont="1" applyBorder="1">
      <alignment vertical="center"/>
    </xf>
    <xf numFmtId="0" fontId="260" fillId="0" borderId="162" xfId="0" applyFont="1" applyBorder="1">
      <alignment vertical="center"/>
    </xf>
    <xf numFmtId="0" fontId="261" fillId="0" borderId="166" xfId="0" applyFont="1" applyBorder="1">
      <alignment vertical="center"/>
    </xf>
    <xf numFmtId="0" fontId="261" fillId="0" borderId="167" xfId="0" applyFont="1" applyBorder="1">
      <alignment vertical="center"/>
    </xf>
    <xf numFmtId="0" fontId="261" fillId="0" borderId="161" xfId="0" applyFont="1" applyBorder="1">
      <alignment vertical="center"/>
    </xf>
    <xf numFmtId="0" fontId="260" fillId="0" borderId="165" xfId="0" applyFont="1" applyBorder="1" applyAlignment="1">
      <alignment horizontal="center" vertical="center" wrapText="1"/>
    </xf>
    <xf numFmtId="0" fontId="260" fillId="0" borderId="163" xfId="0" applyFont="1" applyBorder="1" applyAlignment="1">
      <alignment horizontal="center" vertical="center" wrapText="1"/>
    </xf>
    <xf numFmtId="0" fontId="260" fillId="0" borderId="162" xfId="0" applyFont="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38498;&#21830;&#19994;&#39033;&#30446;&#35797;&#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823;&#21414;&#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大厦及北里"/>
      <sheetName val="广场"/>
      <sheetName val="电影院"/>
      <sheetName val="北院商业面积拆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11252.099999999986</v>
          </cell>
          <cell r="C14">
            <v>2085.79</v>
          </cell>
          <cell r="D14">
            <v>45296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2">
          <cell r="C42">
            <v>6546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估价对象为北京市房地产，为所有。根据《国有土地使用证》[京东国用（2014出）第00252号]，估价对象（分摊）出让国有建设用地使用权面积为10807.05平方米，建筑面积为58300.3平方米。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京东国用（2014出）第00252号]，估价对象（分摊）出让国有建设用地使用权面积为10807.05平方米，规划建筑面积为58300.3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238059</v>
      </c>
    </row>
    <row r="21" spans="1:2" s="1318" customFormat="1">
      <c r="A21" s="1316" t="s">
        <v>962</v>
      </c>
      <c r="B21" s="1317">
        <f ca="1">'预评函-2'!D7</f>
        <v>40833</v>
      </c>
    </row>
    <row r="22" spans="1:2" s="1318" customFormat="1">
      <c r="A22" s="1316" t="s">
        <v>963</v>
      </c>
      <c r="B22" s="1317" t="str">
        <f ca="1">'预评函-2'!D6</f>
        <v>贰拾叁亿捌仟零伍拾玖万元整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238059</v>
      </c>
    </row>
    <row r="31" spans="1:2" s="1318" customFormat="1">
      <c r="A31" s="1316" t="s">
        <v>1001</v>
      </c>
      <c r="B31" s="1317">
        <f ca="1">'预评函-2'!D15</f>
        <v>40833</v>
      </c>
    </row>
    <row r="32" spans="1:2" s="1318" customFormat="1">
      <c r="A32" s="1316" t="s">
        <v>968</v>
      </c>
      <c r="B32" s="1317" t="str">
        <f ca="1">'预评函-2'!D14</f>
        <v>贰拾叁亿捌仟零伍拾玖万元整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58300.299999999996</v>
      </c>
    </row>
    <row r="44" spans="1:2" s="1318" customFormat="1">
      <c r="A44" s="1316" t="s">
        <v>1000</v>
      </c>
      <c r="B44" s="1317" t="str">
        <f>'预评函-3'!C2</f>
        <v>(分摊)土地面积</v>
      </c>
    </row>
    <row r="45" spans="1:2" s="1318" customFormat="1">
      <c r="A45" s="1316" t="s">
        <v>972</v>
      </c>
      <c r="B45" s="1317">
        <f>'预评函-3'!C4</f>
        <v>10807.05</v>
      </c>
    </row>
    <row r="46" spans="1:2" s="1318" customFormat="1">
      <c r="A46" s="1316" t="s">
        <v>998</v>
      </c>
      <c r="B46" s="1317" t="str">
        <f>'预评函-3'!D2</f>
        <v>出让国有建设用地使用权价值</v>
      </c>
    </row>
    <row r="47" spans="1:2" s="1318" customFormat="1">
      <c r="A47" s="1316" t="s">
        <v>973</v>
      </c>
      <c r="B47" s="1317">
        <f ca="1">'预评函-3'!D4</f>
        <v>198541</v>
      </c>
    </row>
    <row r="48" spans="1:2" s="1318" customFormat="1">
      <c r="A48" s="1316" t="s">
        <v>974</v>
      </c>
      <c r="B48" s="1317">
        <f ca="1">'预评函-3'!E4</f>
        <v>34055</v>
      </c>
    </row>
    <row r="49" spans="1:2" s="1318" customFormat="1">
      <c r="A49" s="1316" t="s">
        <v>975</v>
      </c>
      <c r="B49" s="1317" t="str">
        <f ca="1">'预评函-3'!D5</f>
        <v>壹拾玖亿捌仟伍佰肆拾壹万元整</v>
      </c>
    </row>
    <row r="50" spans="1:2" s="1318" customFormat="1">
      <c r="A50" s="1316" t="s">
        <v>999</v>
      </c>
      <c r="B50" s="1317" t="str">
        <f>'预评函-3'!F2</f>
        <v>在建建筑物价值</v>
      </c>
    </row>
    <row r="51" spans="1:2" s="1318" customFormat="1">
      <c r="A51" s="1316" t="s">
        <v>976</v>
      </c>
      <c r="B51" s="1317">
        <f ca="1">'预评函-3'!F4</f>
        <v>39518</v>
      </c>
    </row>
    <row r="52" spans="1:2" s="1318" customFormat="1">
      <c r="A52" s="1316" t="s">
        <v>977</v>
      </c>
      <c r="B52" s="1317">
        <f ca="1">'预评函-3'!G4</f>
        <v>6778</v>
      </c>
    </row>
    <row r="53" spans="1:2" s="1318" customFormat="1">
      <c r="A53" s="1316" t="s">
        <v>1005</v>
      </c>
      <c r="B53" s="1317" t="str">
        <f ca="1">'预评函-3'!F5</f>
        <v>叁亿玖仟伍佰壹拾捌万元整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1410</v>
      </c>
      <c r="C1" s="1677" t="s">
        <v>578</v>
      </c>
      <c r="D1" s="1678" t="s">
        <v>1411</v>
      </c>
      <c r="E1" s="1678" t="s">
        <v>1412</v>
      </c>
      <c r="F1" s="1678" t="s">
        <v>1413</v>
      </c>
      <c r="G1" s="1678" t="s">
        <v>1414</v>
      </c>
      <c r="H1" s="1678" t="s">
        <v>1415</v>
      </c>
      <c r="I1" s="1678" t="s">
        <v>1416</v>
      </c>
      <c r="J1" s="1678" t="s">
        <v>1417</v>
      </c>
      <c r="K1" s="1678" t="s">
        <v>1418</v>
      </c>
      <c r="L1" s="1678" t="s">
        <v>1419</v>
      </c>
      <c r="M1" s="1678" t="s">
        <v>1420</v>
      </c>
      <c r="N1" s="1678" t="s">
        <v>1421</v>
      </c>
      <c r="O1" s="1678" t="s">
        <v>1422</v>
      </c>
      <c r="P1" s="1679" t="s">
        <v>573</v>
      </c>
      <c r="Q1" s="1679" t="s">
        <v>872</v>
      </c>
      <c r="R1" s="1678" t="s">
        <v>866</v>
      </c>
      <c r="S1" s="1678" t="s">
        <v>1423</v>
      </c>
      <c r="T1" s="1680" t="s">
        <v>1424</v>
      </c>
      <c r="U1" s="1678" t="s">
        <v>1425</v>
      </c>
      <c r="V1" s="1678" t="s">
        <v>1426</v>
      </c>
      <c r="W1" s="1678" t="s">
        <v>575</v>
      </c>
    </row>
    <row r="2" spans="1:23">
      <c r="A2" s="1682" t="s">
        <v>22</v>
      </c>
      <c r="B2" s="1682" t="s">
        <v>1427</v>
      </c>
      <c r="C2" s="1683" t="s">
        <v>579</v>
      </c>
      <c r="D2" s="1684" t="s">
        <v>1428</v>
      </c>
      <c r="E2" s="1684" t="s">
        <v>1429</v>
      </c>
      <c r="F2" s="1684" t="s">
        <v>1430</v>
      </c>
      <c r="G2" s="1684">
        <v>40</v>
      </c>
      <c r="H2" s="1684" t="s">
        <v>1430</v>
      </c>
      <c r="I2" s="1684" t="s">
        <v>1431</v>
      </c>
      <c r="J2" s="1684" t="s">
        <v>1432</v>
      </c>
      <c r="K2" s="1684" t="s">
        <v>1433</v>
      </c>
      <c r="L2" s="1684" t="s">
        <v>1433</v>
      </c>
      <c r="M2" s="1684" t="s">
        <v>1433</v>
      </c>
      <c r="N2" s="1684" t="s">
        <v>1433</v>
      </c>
      <c r="O2" s="1684" t="s">
        <v>1433</v>
      </c>
      <c r="P2" s="1684" t="s">
        <v>1433</v>
      </c>
      <c r="Q2" s="1684" t="s">
        <v>1433</v>
      </c>
      <c r="R2" s="1684" t="s">
        <v>868</v>
      </c>
      <c r="S2" s="1684" t="s">
        <v>1433</v>
      </c>
      <c r="T2" s="1684" t="s">
        <v>1434</v>
      </c>
      <c r="U2" s="1684" t="s">
        <v>1433</v>
      </c>
      <c r="V2" s="1684" t="s">
        <v>1435</v>
      </c>
      <c r="W2" s="1684" t="s">
        <v>1433</v>
      </c>
    </row>
    <row r="3" spans="1:23">
      <c r="A3" s="1682" t="s">
        <v>1436</v>
      </c>
      <c r="B3" s="1685" t="s">
        <v>873</v>
      </c>
      <c r="C3" s="1686" t="s">
        <v>580</v>
      </c>
      <c r="D3" s="1684" t="s">
        <v>1437</v>
      </c>
      <c r="E3" s="1684" t="s">
        <v>16</v>
      </c>
      <c r="F3" s="1684" t="s">
        <v>1438</v>
      </c>
      <c r="G3" s="1684">
        <v>50</v>
      </c>
      <c r="H3" s="1684" t="s">
        <v>1438</v>
      </c>
      <c r="I3" s="1684" t="s">
        <v>1439</v>
      </c>
      <c r="J3" s="1684" t="s">
        <v>1440</v>
      </c>
      <c r="K3" s="1684" t="s">
        <v>1441</v>
      </c>
      <c r="L3" s="1684" t="s">
        <v>1441</v>
      </c>
      <c r="M3" s="1684" t="s">
        <v>1441</v>
      </c>
      <c r="N3" s="1684" t="s">
        <v>1441</v>
      </c>
      <c r="O3" s="1684" t="s">
        <v>1441</v>
      </c>
      <c r="P3" s="1684" t="s">
        <v>1441</v>
      </c>
      <c r="Q3" s="1684" t="s">
        <v>1441</v>
      </c>
      <c r="R3" s="1684" t="s">
        <v>867</v>
      </c>
      <c r="S3" s="1684" t="s">
        <v>1441</v>
      </c>
      <c r="T3" s="1684" t="s">
        <v>1442</v>
      </c>
      <c r="U3" s="1684" t="s">
        <v>1441</v>
      </c>
      <c r="V3" s="1684" t="s">
        <v>1443</v>
      </c>
      <c r="W3" s="1684" t="s">
        <v>1441</v>
      </c>
    </row>
    <row r="4" spans="1:23">
      <c r="A4" s="1682" t="s">
        <v>1444</v>
      </c>
      <c r="B4" s="1682" t="s">
        <v>1445</v>
      </c>
      <c r="C4" s="1683" t="s">
        <v>581</v>
      </c>
      <c r="D4" s="1684" t="s">
        <v>655</v>
      </c>
      <c r="E4" s="1684" t="s">
        <v>1446</v>
      </c>
      <c r="F4" s="1684" t="s">
        <v>1447</v>
      </c>
      <c r="G4" s="1684">
        <v>70</v>
      </c>
      <c r="H4" s="1684" t="s">
        <v>1447</v>
      </c>
      <c r="I4" s="1684" t="s">
        <v>1448</v>
      </c>
      <c r="K4" s="1684" t="s">
        <v>1449</v>
      </c>
      <c r="L4" s="1684" t="s">
        <v>1449</v>
      </c>
      <c r="M4" s="1684" t="s">
        <v>1449</v>
      </c>
      <c r="N4" s="1684" t="s">
        <v>1449</v>
      </c>
      <c r="O4" s="1684" t="s">
        <v>1449</v>
      </c>
      <c r="P4" s="1684" t="s">
        <v>1449</v>
      </c>
      <c r="Q4" s="1684" t="s">
        <v>1449</v>
      </c>
      <c r="R4" s="1684" t="s">
        <v>869</v>
      </c>
      <c r="S4" s="1684" t="s">
        <v>1449</v>
      </c>
      <c r="T4" s="1684" t="s">
        <v>1450</v>
      </c>
      <c r="U4" s="1684" t="s">
        <v>1449</v>
      </c>
      <c r="W4" s="1684" t="s">
        <v>1449</v>
      </c>
    </row>
    <row r="5" spans="1:23">
      <c r="A5" s="1682" t="s">
        <v>1451</v>
      </c>
      <c r="B5" s="1682" t="s">
        <v>1452</v>
      </c>
      <c r="C5" s="1683" t="s">
        <v>582</v>
      </c>
      <c r="F5" s="1684" t="s">
        <v>1453</v>
      </c>
      <c r="H5" s="1684" t="s">
        <v>1454</v>
      </c>
      <c r="I5" s="1684" t="s">
        <v>1455</v>
      </c>
      <c r="K5" s="1684" t="s">
        <v>1456</v>
      </c>
      <c r="L5" s="1684" t="s">
        <v>1456</v>
      </c>
      <c r="M5" s="1684" t="s">
        <v>1456</v>
      </c>
      <c r="N5" s="1684" t="s">
        <v>1456</v>
      </c>
      <c r="O5" s="1684" t="s">
        <v>1456</v>
      </c>
      <c r="P5" s="1684" t="s">
        <v>1456</v>
      </c>
      <c r="Q5" s="1684" t="s">
        <v>1456</v>
      </c>
      <c r="R5" s="1684" t="s">
        <v>870</v>
      </c>
      <c r="S5" s="1684" t="s">
        <v>1456</v>
      </c>
      <c r="T5" s="1684" t="s">
        <v>1457</v>
      </c>
      <c r="U5" s="1684" t="s">
        <v>1456</v>
      </c>
      <c r="W5" s="1684" t="s">
        <v>1456</v>
      </c>
    </row>
    <row r="6" spans="1:23">
      <c r="A6" s="1682" t="s">
        <v>1458</v>
      </c>
      <c r="B6" s="1685" t="s">
        <v>874</v>
      </c>
      <c r="C6" s="1688" t="s">
        <v>30</v>
      </c>
      <c r="F6" s="1684" t="s">
        <v>1454</v>
      </c>
      <c r="H6" s="1684" t="s">
        <v>1459</v>
      </c>
      <c r="I6" s="1684" t="s">
        <v>1460</v>
      </c>
      <c r="K6" s="1684" t="s">
        <v>1461</v>
      </c>
      <c r="L6" s="1684" t="s">
        <v>1461</v>
      </c>
      <c r="M6" s="1684" t="s">
        <v>1461</v>
      </c>
      <c r="N6" s="1684" t="s">
        <v>1461</v>
      </c>
      <c r="O6" s="1684" t="s">
        <v>1461</v>
      </c>
      <c r="P6" s="1684" t="s">
        <v>1461</v>
      </c>
      <c r="Q6" s="1684" t="s">
        <v>1461</v>
      </c>
      <c r="R6" s="1684" t="s">
        <v>871</v>
      </c>
      <c r="S6" s="1684" t="s">
        <v>1461</v>
      </c>
      <c r="T6" s="1684"/>
      <c r="U6" s="1684" t="s">
        <v>1461</v>
      </c>
      <c r="W6" s="1684" t="s">
        <v>1461</v>
      </c>
    </row>
    <row r="7" spans="1:23">
      <c r="A7" s="1682" t="s">
        <v>1462</v>
      </c>
      <c r="B7" s="1685" t="s">
        <v>875</v>
      </c>
      <c r="C7" s="1683" t="s">
        <v>31</v>
      </c>
      <c r="F7" s="1684" t="s">
        <v>1463</v>
      </c>
      <c r="H7" s="1684" t="s">
        <v>1464</v>
      </c>
      <c r="I7" s="1684" t="s">
        <v>1465</v>
      </c>
    </row>
    <row r="8" spans="1:23">
      <c r="A8" s="1682" t="s">
        <v>1466</v>
      </c>
      <c r="B8" s="1682" t="s">
        <v>1467</v>
      </c>
      <c r="C8" s="1683" t="s">
        <v>583</v>
      </c>
      <c r="F8" s="1684" t="s">
        <v>1468</v>
      </c>
      <c r="H8" s="1684"/>
      <c r="I8" s="1684" t="s">
        <v>1469</v>
      </c>
    </row>
    <row r="9" spans="1:23">
      <c r="A9" s="1682" t="s">
        <v>1470</v>
      </c>
      <c r="B9" s="1682" t="s">
        <v>1471</v>
      </c>
      <c r="C9" s="1683" t="s">
        <v>584</v>
      </c>
      <c r="F9" s="1684" t="s">
        <v>1472</v>
      </c>
      <c r="H9" s="1684"/>
    </row>
    <row r="10" spans="1:23">
      <c r="A10" s="1682" t="s">
        <v>1473</v>
      </c>
      <c r="B10" s="1682" t="s">
        <v>1474</v>
      </c>
      <c r="C10" s="1683" t="s">
        <v>585</v>
      </c>
      <c r="F10" s="1684" t="s">
        <v>16</v>
      </c>
    </row>
    <row r="11" spans="1:23">
      <c r="A11" s="1682" t="s">
        <v>1475</v>
      </c>
      <c r="B11" s="1682" t="s">
        <v>1476</v>
      </c>
      <c r="C11" s="1683" t="s">
        <v>586</v>
      </c>
    </row>
    <row r="12" spans="1:23">
      <c r="A12" s="1682" t="s">
        <v>1477</v>
      </c>
      <c r="B12" s="1682" t="s">
        <v>1478</v>
      </c>
      <c r="C12" s="1683" t="s">
        <v>587</v>
      </c>
    </row>
    <row r="13" spans="1:23">
      <c r="A13" s="1682" t="s">
        <v>1479</v>
      </c>
      <c r="B13" s="1682" t="s">
        <v>1480</v>
      </c>
      <c r="C13" s="1683" t="s">
        <v>588</v>
      </c>
    </row>
    <row r="14" spans="1:23">
      <c r="A14" s="1682" t="s">
        <v>1481</v>
      </c>
      <c r="B14" s="1682" t="s">
        <v>1482</v>
      </c>
      <c r="C14" s="1684" t="s">
        <v>16</v>
      </c>
    </row>
    <row r="15" spans="1:23">
      <c r="A15" s="1682" t="s">
        <v>1483</v>
      </c>
      <c r="B15" s="1682" t="s">
        <v>1484</v>
      </c>
      <c r="C15" s="1683"/>
    </row>
    <row r="16" spans="1:23">
      <c r="A16" s="1682" t="s">
        <v>1485</v>
      </c>
      <c r="B16" s="1682" t="s">
        <v>576</v>
      </c>
      <c r="C16" s="1683"/>
    </row>
    <row r="17" spans="1:3">
      <c r="A17" s="1682" t="s">
        <v>1486</v>
      </c>
      <c r="B17" s="1682" t="s">
        <v>2778</v>
      </c>
      <c r="C17" s="1683"/>
    </row>
    <row r="18" spans="1:3">
      <c r="A18" s="1682" t="s">
        <v>1487</v>
      </c>
      <c r="B18" s="1682" t="s">
        <v>2922</v>
      </c>
      <c r="C18" s="1683"/>
    </row>
    <row r="19" spans="1:3">
      <c r="A19" s="1682" t="s">
        <v>1488</v>
      </c>
      <c r="B19" s="1682" t="s">
        <v>577</v>
      </c>
      <c r="C19" s="1683"/>
    </row>
    <row r="20" spans="1:3">
      <c r="A20" s="1682" t="s">
        <v>1489</v>
      </c>
      <c r="B20" s="1682" t="s">
        <v>577</v>
      </c>
      <c r="C20" s="1683"/>
    </row>
    <row r="21" spans="1:3">
      <c r="A21" s="1682" t="s">
        <v>1490</v>
      </c>
      <c r="B21" s="1682" t="s">
        <v>577</v>
      </c>
      <c r="C21" s="1683"/>
    </row>
    <row r="22" spans="1:3">
      <c r="A22" s="1682" t="s">
        <v>1491</v>
      </c>
      <c r="B22" s="1682" t="s">
        <v>577</v>
      </c>
      <c r="C22" s="1683"/>
    </row>
    <row r="23" spans="1:3">
      <c r="A23" s="1682" t="s">
        <v>1492</v>
      </c>
      <c r="B23" s="1682" t="s">
        <v>577</v>
      </c>
      <c r="C23" s="1683"/>
    </row>
    <row r="24" spans="1:3">
      <c r="A24" s="1682" t="s">
        <v>1493</v>
      </c>
      <c r="B24" s="1682" t="s">
        <v>577</v>
      </c>
      <c r="C24" s="1683"/>
    </row>
    <row r="25" spans="1:3">
      <c r="A25" s="1682" t="s">
        <v>1494</v>
      </c>
      <c r="B25" s="1682" t="s">
        <v>577</v>
      </c>
      <c r="C25" s="1683"/>
    </row>
    <row r="26" spans="1:3">
      <c r="A26" s="1682" t="s">
        <v>1495</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1690" t="s">
        <v>651</v>
      </c>
      <c r="C54" s="1687" t="s">
        <v>1008</v>
      </c>
    </row>
    <row r="55" spans="1:4">
      <c r="A55" s="3314"/>
      <c r="B55" s="1690" t="s">
        <v>652</v>
      </c>
      <c r="C55" s="1687" t="s">
        <v>1009</v>
      </c>
    </row>
    <row r="56" spans="1:4">
      <c r="A56" s="3314"/>
      <c r="B56" s="1690" t="s">
        <v>653</v>
      </c>
      <c r="C56" s="1687" t="s">
        <v>1013</v>
      </c>
    </row>
    <row r="57" spans="1:4">
      <c r="A57" s="331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2664</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317"/>
      <c r="J1" s="2645"/>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2665</v>
      </c>
      <c r="B2" s="2544"/>
      <c r="C2" s="2545"/>
      <c r="D2" s="2846"/>
      <c r="E2" s="2836"/>
      <c r="F2" s="2836"/>
      <c r="G2" s="2837"/>
      <c r="H2" s="2837"/>
      <c r="I2" s="2837"/>
      <c r="J2" s="2645"/>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2666</v>
      </c>
      <c r="B3" s="2546">
        <v>44742</v>
      </c>
      <c r="C3" s="2547" t="s">
        <v>2667</v>
      </c>
      <c r="D3" s="2546">
        <f>B3</f>
        <v>44742</v>
      </c>
      <c r="E3" s="2837"/>
      <c r="F3" s="2837"/>
      <c r="G3" s="2837"/>
      <c r="H3" s="2837"/>
      <c r="I3" s="2837"/>
      <c r="J3" s="2645"/>
      <c r="K3" s="2541"/>
      <c r="L3" s="2542"/>
      <c r="M3" s="2542"/>
      <c r="N3" s="2543"/>
      <c r="O3" s="1712"/>
      <c r="P3" s="2543"/>
      <c r="Q3" s="2543"/>
      <c r="R3" s="2543"/>
      <c r="S3" s="1819"/>
      <c r="T3" s="1882"/>
      <c r="U3" s="1882"/>
      <c r="V3" s="1882"/>
      <c r="W3" s="1882"/>
      <c r="X3" s="1882"/>
      <c r="Y3" s="1882"/>
      <c r="Z3" s="1882"/>
      <c r="AA3" s="1882"/>
      <c r="AB3" s="1882"/>
    </row>
    <row r="4" spans="1:28" ht="13.5" thickBot="1">
      <c r="A4" s="1203" t="s">
        <v>2668</v>
      </c>
      <c r="B4" s="2548" t="s">
        <v>3159</v>
      </c>
      <c r="C4" s="2549">
        <f ca="1">SUMIF(注册房地产估价师,B4,估价师及机构信息!B3:B24)</f>
        <v>1120070131</v>
      </c>
      <c r="D4" s="2548" t="s">
        <v>3527</v>
      </c>
      <c r="E4" s="2550">
        <f ca="1">SUMIF(注册房地产估价师,D4,估价师及机构信息!B3:B24)</f>
        <v>1419970001</v>
      </c>
      <c r="F4" s="2548"/>
      <c r="G4" s="2550">
        <f>SUMIF(注册房地产估价师,F4,估价师及机构信息!B3:B24)</f>
        <v>0</v>
      </c>
      <c r="H4" s="2548"/>
      <c r="I4" s="2550">
        <f>SUMIF(注册房地产估价师,H4,估价师及机构信息!B3:B24)</f>
        <v>0</v>
      </c>
      <c r="J4" s="2614"/>
      <c r="K4" s="2551" t="str">
        <f ca="1">CONCATENATE(B4,"（注册号：",C4,")、",D4,"（注册号：",E4,")")</f>
        <v>郑燚（注册号：1120070131)、吴薇（注册号：1419970001)</v>
      </c>
      <c r="L4" s="2542"/>
      <c r="M4" s="2542"/>
      <c r="N4" s="2543"/>
      <c r="O4" s="1712"/>
      <c r="P4" s="2543"/>
      <c r="Q4" s="2543"/>
      <c r="R4" s="2543"/>
      <c r="S4" s="1819"/>
      <c r="T4" s="1882"/>
      <c r="U4" s="1882"/>
      <c r="V4" s="1882"/>
      <c r="W4" s="1882"/>
      <c r="X4" s="1882"/>
      <c r="Y4" s="1882"/>
      <c r="Z4" s="1882"/>
      <c r="AA4" s="1882"/>
      <c r="AB4" s="1882"/>
    </row>
    <row r="5" spans="1:28" ht="13.5" thickTop="1">
      <c r="A5" s="2552" t="s">
        <v>2669</v>
      </c>
      <c r="B5" s="2553"/>
      <c r="C5" s="2554"/>
      <c r="D5" s="2555"/>
      <c r="E5" s="2838"/>
      <c r="F5" s="2838"/>
      <c r="G5" s="2838"/>
      <c r="H5" s="2838"/>
      <c r="I5" s="2838"/>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2670</v>
      </c>
      <c r="B6" s="2557"/>
      <c r="C6" s="2558"/>
      <c r="D6" s="2559"/>
      <c r="E6" s="2836"/>
      <c r="F6" s="2838"/>
      <c r="G6" s="2838"/>
      <c r="H6" s="2838"/>
      <c r="I6" s="2838"/>
      <c r="J6" s="2614"/>
      <c r="K6" s="2788" t="str">
        <f>IF(COUNTIF(B6,"*上海银行*"),"上海银行","")</f>
        <v/>
      </c>
      <c r="L6" s="2786"/>
      <c r="M6" s="2786"/>
      <c r="N6" s="2614"/>
      <c r="O6" s="2625"/>
      <c r="P6" s="2614"/>
      <c r="Q6" s="2614"/>
      <c r="R6" s="2614"/>
    </row>
    <row r="7" spans="1:28">
      <c r="A7" s="2556" t="s">
        <v>2671</v>
      </c>
      <c r="B7" s="2560"/>
      <c r="C7" s="2558"/>
      <c r="D7" s="2559"/>
      <c r="E7" s="2836"/>
      <c r="F7" s="2838"/>
      <c r="G7" s="2838"/>
      <c r="H7" s="2838"/>
      <c r="I7" s="2838"/>
      <c r="J7" s="2614"/>
      <c r="K7" s="2789"/>
      <c r="L7" s="2786"/>
      <c r="M7" s="2786"/>
      <c r="N7" s="2614"/>
      <c r="O7" s="2625"/>
      <c r="P7" s="2614"/>
      <c r="Q7" s="2614"/>
      <c r="R7" s="2614"/>
    </row>
    <row r="8" spans="1:28">
      <c r="A8" s="2561" t="s">
        <v>2672</v>
      </c>
      <c r="B8" s="2562" t="s">
        <v>3160</v>
      </c>
      <c r="C8" s="2563"/>
      <c r="D8" s="3318" t="s">
        <v>2673</v>
      </c>
      <c r="E8" s="2564" t="s">
        <v>3161</v>
      </c>
      <c r="F8" s="2565"/>
      <c r="G8" s="2837"/>
      <c r="H8" s="2837"/>
      <c r="I8" s="2837"/>
      <c r="J8" s="2614"/>
      <c r="K8" s="2787"/>
      <c r="L8" s="2786"/>
      <c r="M8" s="2786"/>
      <c r="N8" s="2614"/>
      <c r="O8" s="2625"/>
      <c r="P8" s="2614"/>
      <c r="Q8" s="2614"/>
      <c r="R8" s="2614"/>
    </row>
    <row r="9" spans="1:28" ht="13.5" thickBot="1">
      <c r="A9" s="2566" t="s">
        <v>2674</v>
      </c>
      <c r="B9" s="2567" t="s">
        <v>3161</v>
      </c>
      <c r="C9" s="2568"/>
      <c r="D9" s="3319"/>
      <c r="E9" s="2567" t="s">
        <v>70</v>
      </c>
      <c r="F9" s="2569"/>
      <c r="G9" s="2839"/>
      <c r="H9" s="2839"/>
      <c r="I9" s="2839"/>
      <c r="J9" s="2614"/>
      <c r="K9" s="2789"/>
      <c r="L9" s="2786"/>
      <c r="M9" s="2786"/>
      <c r="N9" s="2614"/>
      <c r="O9" s="2625"/>
      <c r="P9" s="2614"/>
      <c r="Q9" s="2614"/>
      <c r="R9" s="2614"/>
    </row>
    <row r="10" spans="1:28" ht="13.5" thickTop="1">
      <c r="A10" s="2570" t="s">
        <v>2675</v>
      </c>
      <c r="B10" s="2571" t="s">
        <v>3162</v>
      </c>
      <c r="C10" s="2572"/>
      <c r="D10" s="2555"/>
      <c r="E10" s="2573" t="s">
        <v>2676</v>
      </c>
      <c r="F10" s="2840"/>
      <c r="G10" s="2841"/>
      <c r="H10" s="2842"/>
      <c r="I10" s="2843"/>
      <c r="J10" s="2614"/>
      <c r="K10" s="2789"/>
      <c r="L10" s="2786"/>
      <c r="M10" s="2786"/>
      <c r="N10" s="2614"/>
      <c r="O10" s="2625"/>
      <c r="P10" s="2614"/>
      <c r="Q10" s="2614"/>
      <c r="R10" s="2614"/>
    </row>
    <row r="11" spans="1:28">
      <c r="A11" s="2574" t="s">
        <v>2677</v>
      </c>
      <c r="B11" s="2575" t="s">
        <v>3163</v>
      </c>
      <c r="C11" s="2576"/>
      <c r="D11" s="2577"/>
      <c r="E11" s="2543"/>
      <c r="F11" s="2543"/>
      <c r="G11" s="2543"/>
      <c r="H11" s="2543"/>
      <c r="I11" s="2543"/>
      <c r="J11" s="2614"/>
      <c r="K11" s="2789"/>
      <c r="L11" s="2786"/>
      <c r="M11" s="2786"/>
      <c r="N11" s="2614"/>
      <c r="O11" s="2625"/>
      <c r="P11" s="2614"/>
      <c r="Q11" s="2614"/>
      <c r="R11" s="2614"/>
    </row>
    <row r="12" spans="1:28">
      <c r="A12" s="2578" t="s">
        <v>2678</v>
      </c>
      <c r="B12" s="2575" t="s">
        <v>3164</v>
      </c>
      <c r="C12" s="329" t="s">
        <v>2679</v>
      </c>
      <c r="D12" s="2579" t="s">
        <v>2680</v>
      </c>
      <c r="E12" s="2579" t="s">
        <v>2681</v>
      </c>
      <c r="F12" s="2579" t="s">
        <v>2682</v>
      </c>
      <c r="G12" s="2579" t="s">
        <v>2683</v>
      </c>
      <c r="H12" s="2579" t="s">
        <v>2684</v>
      </c>
      <c r="I12" s="2579" t="s">
        <v>2685</v>
      </c>
      <c r="J12" s="2614"/>
      <c r="K12" s="2789"/>
      <c r="L12" s="2786"/>
      <c r="M12" s="2786"/>
      <c r="N12" s="2614"/>
      <c r="O12" s="2625"/>
      <c r="P12" s="2614"/>
      <c r="Q12" s="2614"/>
      <c r="R12" s="2614"/>
    </row>
    <row r="13" spans="1:28">
      <c r="A13" s="1194"/>
      <c r="B13" s="2580"/>
      <c r="C13" s="2581" t="s">
        <v>2686</v>
      </c>
      <c r="D13" s="946"/>
      <c r="E13" s="946">
        <f>大厦及北里!B58</f>
        <v>56423</v>
      </c>
      <c r="F13" s="946"/>
      <c r="G13" s="946"/>
      <c r="H13" s="946"/>
      <c r="I13" s="946"/>
      <c r="J13" s="2614"/>
      <c r="K13" s="2789"/>
      <c r="L13" s="2786"/>
      <c r="M13" s="2786"/>
      <c r="N13" s="2614"/>
      <c r="O13" s="2625"/>
      <c r="P13" s="2614"/>
      <c r="Q13" s="2614"/>
      <c r="R13" s="2614"/>
    </row>
    <row r="14" spans="1:28">
      <c r="A14" s="1194"/>
      <c r="B14" s="2580"/>
      <c r="C14" s="2581" t="s">
        <v>2687</v>
      </c>
      <c r="D14" s="2582"/>
      <c r="E14" s="2582">
        <v>40</v>
      </c>
      <c r="F14" s="2582"/>
      <c r="G14" s="2582"/>
      <c r="H14" s="2582"/>
      <c r="I14" s="2582"/>
      <c r="J14" s="2614"/>
      <c r="K14" s="2790"/>
      <c r="L14" s="2786"/>
      <c r="M14" s="2786"/>
      <c r="N14" s="2614"/>
      <c r="O14" s="2625"/>
      <c r="P14" s="2614"/>
      <c r="Q14" s="2614"/>
      <c r="R14" s="2614"/>
    </row>
    <row r="15" spans="1:28">
      <c r="A15" s="326"/>
      <c r="B15" s="2583"/>
      <c r="C15" s="2584" t="s">
        <v>2688</v>
      </c>
      <c r="D15" s="2585" t="str">
        <f>IF(B12="出让",IF(D13="","",ROUNDDOWN(MIN((D13-$D$3)/365,D14),2)),D14)</f>
        <v/>
      </c>
      <c r="E15" s="2585">
        <f>IF(B12="出让",IF(E13="","",ROUNDDOWN(MIN((E13-$D$3)/365,E14),2)),E14)</f>
        <v>32</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1"/>
      <c r="L15" s="2626"/>
      <c r="M15" s="2626"/>
      <c r="N15" s="2682"/>
      <c r="O15" s="2626"/>
      <c r="P15" s="2682"/>
      <c r="Q15" s="2614"/>
      <c r="R15" s="2614"/>
    </row>
    <row r="16" spans="1:28">
      <c r="A16" s="2573" t="s">
        <v>2689</v>
      </c>
      <c r="B16" s="3325"/>
      <c r="C16" s="3326"/>
      <c r="D16" s="3327"/>
      <c r="E16" s="2588" t="s">
        <v>2690</v>
      </c>
      <c r="F16" s="3328"/>
      <c r="G16" s="3329"/>
      <c r="H16" s="3329"/>
      <c r="I16" s="3330"/>
      <c r="J16" s="2614"/>
      <c r="K16" s="2791"/>
      <c r="L16" s="2626"/>
      <c r="M16" s="2626"/>
      <c r="N16" s="2682"/>
      <c r="O16" s="2626"/>
      <c r="P16" s="2682"/>
      <c r="Q16" s="2614"/>
      <c r="R16" s="2614"/>
    </row>
    <row r="17" spans="1:28">
      <c r="A17" s="319" t="s">
        <v>2691</v>
      </c>
      <c r="B17" s="308" t="s">
        <v>2692</v>
      </c>
      <c r="C17" s="11">
        <f>'数据-汇总表'!E3</f>
        <v>58300.299999999996</v>
      </c>
      <c r="D17" s="2495" t="s">
        <v>2693</v>
      </c>
      <c r="E17" s="3331" t="s">
        <v>3475</v>
      </c>
      <c r="F17" s="3332"/>
      <c r="G17" s="3332"/>
      <c r="H17" s="3332"/>
      <c r="I17" s="3333"/>
      <c r="J17" s="2614"/>
      <c r="K17" s="2792"/>
      <c r="L17" s="2626"/>
      <c r="M17" s="2626"/>
      <c r="N17" s="2682"/>
      <c r="O17" s="2626"/>
      <c r="P17" s="2682"/>
      <c r="Q17" s="2614"/>
      <c r="R17" s="2614"/>
      <c r="S17" s="2614"/>
      <c r="T17" s="2614"/>
      <c r="U17" s="2614"/>
      <c r="V17" s="2614"/>
    </row>
    <row r="18" spans="1:28" ht="24.75" thickBot="1">
      <c r="A18" s="2589" t="s">
        <v>2694</v>
      </c>
      <c r="B18" s="1203" t="s">
        <v>2695</v>
      </c>
      <c r="C18" s="2590">
        <f>'数据-汇总表'!D3</f>
        <v>10807.05</v>
      </c>
      <c r="D18" s="1205" t="s">
        <v>2696</v>
      </c>
      <c r="E18" s="3334" t="s">
        <v>3477</v>
      </c>
      <c r="F18" s="3335"/>
      <c r="G18" s="3335"/>
      <c r="H18" s="3335"/>
      <c r="I18" s="3336"/>
      <c r="J18" s="2614"/>
      <c r="K18" s="2792"/>
      <c r="L18" s="2626"/>
      <c r="M18" s="2626"/>
      <c r="N18" s="2682"/>
      <c r="O18" s="2626"/>
      <c r="P18" s="2682"/>
      <c r="Q18" s="2614"/>
      <c r="R18" s="2614"/>
      <c r="S18" s="2614"/>
      <c r="T18" s="2614"/>
      <c r="U18" s="2614"/>
      <c r="V18" s="2614"/>
    </row>
    <row r="19" spans="1:28" ht="37.5" thickTop="1" thickBot="1">
      <c r="A19" s="333" t="s">
        <v>1496</v>
      </c>
      <c r="B19" s="313" t="s">
        <v>2697</v>
      </c>
      <c r="C19" s="1699"/>
      <c r="D19" s="1700" t="s">
        <v>2698</v>
      </c>
      <c r="E19" s="1701"/>
      <c r="F19" s="1702" t="str">
        <f>IF(AND(C19="是",E19="否"),"是否提供他项权证或相关说明","")</f>
        <v/>
      </c>
      <c r="G19" s="1703"/>
      <c r="H19" s="2838"/>
      <c r="I19" s="2838"/>
      <c r="J19" s="2614"/>
      <c r="K19" s="2789"/>
      <c r="L19" s="2786"/>
      <c r="M19" s="2786"/>
      <c r="N19" s="2682"/>
      <c r="O19" s="2626"/>
      <c r="P19" s="2682"/>
      <c r="Q19" s="2614"/>
      <c r="R19" s="2614"/>
      <c r="S19" s="2614"/>
      <c r="T19" s="2614"/>
      <c r="U19" s="2614"/>
      <c r="V19" s="2614"/>
    </row>
    <row r="20" spans="1:28">
      <c r="A20" s="2806" t="s">
        <v>2699</v>
      </c>
      <c r="B20" s="3321" t="s">
        <v>2700</v>
      </c>
      <c r="C20" s="3322"/>
      <c r="D20" s="3323" t="s">
        <v>2701</v>
      </c>
      <c r="E20" s="3324"/>
      <c r="F20" s="2821" t="s">
        <v>1497</v>
      </c>
      <c r="G20" s="2838"/>
      <c r="H20" s="2838"/>
      <c r="I20" s="2838"/>
      <c r="J20" s="2614"/>
      <c r="K20" s="3320" t="s">
        <v>2702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6"/>
      <c r="B21" s="2807" t="s">
        <v>2703</v>
      </c>
      <c r="C21" s="2808" t="s">
        <v>1498</v>
      </c>
      <c r="D21" s="1704" t="s">
        <v>2704</v>
      </c>
      <c r="E21" s="2809" t="s">
        <v>1498</v>
      </c>
      <c r="F21" s="2822"/>
      <c r="G21" s="2838"/>
      <c r="H21" s="2838"/>
      <c r="I21" s="2838"/>
      <c r="J21" s="2614"/>
      <c r="K21" s="33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6"/>
      <c r="B22" s="2810" t="s">
        <v>2705</v>
      </c>
      <c r="C22" s="2808" t="s">
        <v>1499</v>
      </c>
      <c r="D22" s="2837"/>
      <c r="E22" s="2837"/>
      <c r="F22" s="2837"/>
      <c r="G22" s="2838"/>
      <c r="H22" s="2838"/>
      <c r="I22" s="2838"/>
      <c r="J22" s="2614"/>
      <c r="K22" s="33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1" t="s">
        <v>2706</v>
      </c>
      <c r="B23" s="2675" t="s">
        <v>2707</v>
      </c>
      <c r="C23" s="2812"/>
      <c r="D23" s="2813" t="s">
        <v>2707</v>
      </c>
      <c r="E23" s="2814"/>
      <c r="F23" s="2837"/>
      <c r="G23" s="2838"/>
      <c r="H23" s="2838"/>
      <c r="I23" s="2838"/>
      <c r="J23" s="2614"/>
      <c r="K23" s="2793"/>
      <c r="L23" s="2649"/>
      <c r="M23" s="2786"/>
      <c r="N23" s="2682"/>
      <c r="O23" s="2626"/>
      <c r="P23" s="2682"/>
      <c r="Q23" s="2614"/>
      <c r="R23" s="2614"/>
      <c r="S23" s="2614"/>
      <c r="T23" s="2614"/>
      <c r="U23" s="2614"/>
      <c r="V23" s="2614"/>
    </row>
    <row r="24" spans="1:28">
      <c r="A24" s="2811"/>
      <c r="B24" s="2675" t="s">
        <v>1500</v>
      </c>
      <c r="C24" s="2815"/>
      <c r="D24" s="2811" t="s">
        <v>1500</v>
      </c>
      <c r="E24" s="2816"/>
      <c r="F24" s="2837"/>
      <c r="G24" s="2838"/>
      <c r="H24" s="2838"/>
      <c r="I24" s="2838"/>
      <c r="J24" s="2614"/>
      <c r="K24" s="2793"/>
      <c r="L24" s="2649"/>
      <c r="M24" s="2786"/>
      <c r="N24" s="2682"/>
      <c r="O24" s="2626"/>
      <c r="P24" s="2682"/>
      <c r="Q24" s="2614"/>
      <c r="R24" s="2614"/>
      <c r="S24" s="2614"/>
      <c r="T24" s="2614"/>
      <c r="U24" s="2614"/>
      <c r="V24" s="2614"/>
    </row>
    <row r="25" spans="1:28">
      <c r="A25" s="2811"/>
      <c r="B25" s="2675" t="s">
        <v>1501</v>
      </c>
      <c r="C25" s="2815"/>
      <c r="D25" s="2811" t="s">
        <v>1501</v>
      </c>
      <c r="E25" s="2816"/>
      <c r="F25" s="2837"/>
      <c r="G25" s="2838"/>
      <c r="H25" s="2838"/>
      <c r="I25" s="2838"/>
      <c r="J25" s="2614"/>
      <c r="K25" s="2789"/>
      <c r="L25" s="2786"/>
      <c r="M25" s="2786"/>
      <c r="N25" s="2682"/>
      <c r="O25" s="2626"/>
      <c r="P25" s="2682"/>
      <c r="Q25" s="2614"/>
      <c r="R25" s="2614"/>
      <c r="S25" s="2614"/>
      <c r="T25" s="2614"/>
      <c r="U25" s="2614"/>
      <c r="V25" s="2614"/>
    </row>
    <row r="26" spans="1:28" ht="13.5" thickBot="1">
      <c r="A26" s="2817"/>
      <c r="B26" s="2818" t="s">
        <v>1502</v>
      </c>
      <c r="C26" s="2819"/>
      <c r="D26" s="2817" t="s">
        <v>1502</v>
      </c>
      <c r="E26" s="2820"/>
      <c r="F26" s="2839"/>
      <c r="G26" s="2839"/>
      <c r="H26" s="2839"/>
      <c r="I26" s="2839"/>
      <c r="J26" s="2614"/>
      <c r="K26" s="2789"/>
      <c r="L26" s="2786"/>
      <c r="M26" s="2786"/>
      <c r="N26" s="2682"/>
      <c r="O26" s="2626"/>
      <c r="P26" s="2682"/>
      <c r="Q26" s="2614"/>
      <c r="R26" s="2614"/>
      <c r="S26" s="2614"/>
      <c r="T26" s="2614"/>
      <c r="U26" s="2614"/>
      <c r="V26" s="2614"/>
    </row>
    <row r="27" spans="1:28" ht="13.5" thickTop="1">
      <c r="A27" s="3338" t="s">
        <v>2708</v>
      </c>
      <c r="B27" s="326" t="s">
        <v>2709</v>
      </c>
      <c r="C27" s="2591"/>
      <c r="D27" s="2592"/>
      <c r="E27" s="2838"/>
      <c r="F27" s="2838"/>
      <c r="G27" s="2838"/>
      <c r="H27" s="2838"/>
      <c r="I27" s="2838"/>
      <c r="J27" s="2614"/>
      <c r="K27" s="2791"/>
      <c r="L27" s="2626"/>
      <c r="M27" s="2626"/>
      <c r="N27" s="2682"/>
      <c r="O27" s="2626"/>
      <c r="P27" s="2682"/>
      <c r="Q27" s="2614"/>
      <c r="R27" s="2614"/>
      <c r="S27" s="2614"/>
      <c r="T27" s="2614"/>
      <c r="U27" s="2614"/>
      <c r="V27" s="2614"/>
    </row>
    <row r="28" spans="1:28">
      <c r="A28" s="3338"/>
      <c r="B28" s="308" t="s">
        <v>2710</v>
      </c>
      <c r="C28" s="2593"/>
      <c r="D28" s="2594"/>
      <c r="E28" s="2838"/>
      <c r="F28" s="2838"/>
      <c r="G28" s="2838"/>
      <c r="H28" s="2838"/>
      <c r="I28" s="2838"/>
      <c r="J28" s="2614"/>
      <c r="K28" s="2789"/>
      <c r="L28" s="2786"/>
      <c r="M28" s="2786"/>
      <c r="N28" s="2614"/>
      <c r="O28" s="2625"/>
      <c r="P28" s="2614"/>
      <c r="Q28" s="2614"/>
      <c r="R28" s="2614"/>
      <c r="S28" s="2614"/>
      <c r="T28" s="2614"/>
      <c r="U28" s="2614"/>
      <c r="V28" s="2614"/>
    </row>
    <row r="29" spans="1:28">
      <c r="A29" s="3338"/>
      <c r="B29" s="308" t="s">
        <v>2711</v>
      </c>
      <c r="C29" s="2595"/>
      <c r="D29" s="2596"/>
      <c r="E29" s="2838"/>
      <c r="F29" s="2838"/>
      <c r="G29" s="2838"/>
      <c r="H29" s="2838"/>
      <c r="I29" s="2838"/>
      <c r="J29" s="2614"/>
      <c r="K29" s="2789"/>
      <c r="L29" s="2786"/>
      <c r="M29" s="2786"/>
      <c r="N29" s="2614"/>
      <c r="O29" s="2625"/>
      <c r="P29" s="2614"/>
      <c r="Q29" s="2614"/>
      <c r="R29" s="2614"/>
      <c r="S29" s="2614"/>
      <c r="T29" s="2614"/>
      <c r="U29" s="2614"/>
      <c r="V29" s="2614"/>
    </row>
    <row r="30" spans="1:28">
      <c r="A30" s="3339"/>
      <c r="B30" s="308" t="s">
        <v>2712</v>
      </c>
      <c r="C30" s="3340"/>
      <c r="D30" s="3341"/>
      <c r="E30" s="2838"/>
      <c r="F30" s="2838"/>
      <c r="G30" s="2838"/>
      <c r="H30" s="2838"/>
      <c r="I30" s="2838"/>
      <c r="J30" s="2614"/>
      <c r="K30" s="2789"/>
      <c r="L30" s="2786"/>
      <c r="M30" s="2786"/>
      <c r="N30" s="2614"/>
      <c r="O30" s="2625"/>
      <c r="P30" s="2614"/>
      <c r="Q30" s="2614"/>
      <c r="R30" s="2614"/>
      <c r="S30" s="2614"/>
      <c r="T30" s="2614"/>
      <c r="U30" s="2614"/>
      <c r="V30" s="2614"/>
    </row>
    <row r="31" spans="1:28">
      <c r="A31" s="3342" t="s">
        <v>2713</v>
      </c>
      <c r="B31" s="2597"/>
      <c r="C31" s="2496" t="str">
        <f>IF(B31="现房","成新及维护状况正常否",IF(B31="在建","工程状态是否正常",IF(B31="土地","是否闲置","-")))</f>
        <v>-</v>
      </c>
      <c r="D31" s="1508"/>
      <c r="E31" s="2598"/>
      <c r="F31" s="2838"/>
      <c r="G31" s="2838"/>
      <c r="H31" s="2838"/>
      <c r="I31" s="2838"/>
      <c r="J31" s="2614"/>
      <c r="K31" s="2788"/>
      <c r="L31" s="2786"/>
      <c r="M31" s="2786"/>
      <c r="N31" s="2614"/>
      <c r="O31" s="2625"/>
      <c r="P31" s="2614"/>
      <c r="Q31" s="2614"/>
      <c r="R31" s="2614"/>
      <c r="S31" s="2614"/>
      <c r="T31" s="2614"/>
      <c r="U31" s="2614"/>
      <c r="V31" s="2614"/>
    </row>
    <row r="32" spans="1:28">
      <c r="A32" s="3343"/>
      <c r="B32" s="2597"/>
      <c r="C32" s="2496" t="str">
        <f>IF(B32="现房","成新及维护状况是否正常",IF(B32="在建","工程状态是否正常",IF(B32="土地","是否闲置","-")))</f>
        <v>-</v>
      </c>
      <c r="D32" s="1508"/>
      <c r="E32" s="2598"/>
      <c r="F32" s="2838"/>
      <c r="G32" s="2838"/>
      <c r="H32" s="2838"/>
      <c r="I32" s="2838"/>
      <c r="J32" s="2614"/>
      <c r="K32" s="2789"/>
      <c r="L32" s="2786"/>
      <c r="M32" s="2786"/>
      <c r="N32" s="2614"/>
      <c r="O32" s="2625"/>
      <c r="P32" s="2614"/>
      <c r="Q32" s="2614"/>
      <c r="R32" s="2614"/>
      <c r="S32" s="2614"/>
      <c r="T32" s="2614"/>
      <c r="U32" s="2614"/>
      <c r="V32" s="2614"/>
    </row>
    <row r="33" spans="1:30">
      <c r="A33" s="3343"/>
      <c r="B33" s="2600"/>
      <c r="C33" s="1726" t="str">
        <f>IF(B33="现房","成新及维护状况是否正常",IF(B33="在建","工程状态是否正常",IF(B33="土地","是否闲置","-")))</f>
        <v>-</v>
      </c>
      <c r="D33" s="1500"/>
      <c r="E33" s="2601"/>
      <c r="F33" s="2838"/>
      <c r="G33" s="2838"/>
      <c r="H33" s="2838"/>
      <c r="I33" s="2838"/>
      <c r="J33" s="2614"/>
      <c r="K33" s="2789"/>
      <c r="L33" s="2786"/>
      <c r="M33" s="2786"/>
      <c r="N33" s="2614"/>
      <c r="O33" s="2625"/>
      <c r="P33" s="2614"/>
      <c r="Q33" s="2614"/>
      <c r="R33" s="2614"/>
      <c r="S33" s="2614"/>
      <c r="T33" s="2614"/>
      <c r="U33" s="2614"/>
      <c r="V33" s="2614"/>
    </row>
    <row r="34" spans="1:30">
      <c r="A34" s="308" t="s">
        <v>2714</v>
      </c>
      <c r="B34" s="2164"/>
      <c r="C34" s="2164"/>
      <c r="D34" s="2164"/>
      <c r="E34" s="2164"/>
      <c r="F34" s="2164"/>
      <c r="G34" s="2164"/>
      <c r="H34" s="2164"/>
      <c r="I34" s="2838"/>
      <c r="J34" s="2614"/>
      <c r="K34" s="2602">
        <f>COUNTIF(B34:H34,"——")</f>
        <v>0</v>
      </c>
      <c r="L34" s="329" t="s">
        <v>2715</v>
      </c>
      <c r="M34" s="329" t="s">
        <v>2716</v>
      </c>
      <c r="N34" s="329" t="s">
        <v>2717</v>
      </c>
      <c r="O34" s="329" t="s">
        <v>2718</v>
      </c>
      <c r="P34" s="329" t="s">
        <v>2719</v>
      </c>
      <c r="Q34" s="329" t="s">
        <v>2720</v>
      </c>
      <c r="R34" s="329" t="s">
        <v>2721</v>
      </c>
      <c r="S34" s="3337" t="s">
        <v>2722</v>
      </c>
      <c r="T34" s="2603" t="str">
        <f>NUMBERSTRING(7-K34,1)&amp;"通"</f>
        <v>七通</v>
      </c>
      <c r="U34" s="2614"/>
      <c r="V34" s="2614"/>
    </row>
    <row r="35" spans="1:30">
      <c r="A35" s="2604"/>
      <c r="B35" s="3344" t="s">
        <v>2723</v>
      </c>
      <c r="C35" s="3344"/>
      <c r="D35" s="3344"/>
      <c r="E35" s="3344"/>
      <c r="F35" s="673">
        <f>C10</f>
        <v>0</v>
      </c>
      <c r="G35" s="2838"/>
      <c r="H35" s="2838"/>
      <c r="I35" s="2838"/>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7"/>
      <c r="T35" s="335" t="str">
        <f>IF(T34="一通",L35,IF(T34="二通",M35,IF(T34="三通",N35,IF(T34="四通",O35,IF(T34="五通",P35,IF(T34="六通",Q35,R35))))))</f>
        <v>、、、、、、</v>
      </c>
      <c r="U35" s="2614"/>
      <c r="V35" s="2614"/>
    </row>
    <row r="36" spans="1:30">
      <c r="A36" s="2605"/>
      <c r="B36" s="673" t="s">
        <v>2681</v>
      </c>
      <c r="C36" s="673" t="s">
        <v>2682</v>
      </c>
      <c r="D36" s="673" t="s">
        <v>2680</v>
      </c>
      <c r="E36" s="673" t="s">
        <v>2685</v>
      </c>
      <c r="F36" s="2844"/>
      <c r="G36" s="2838"/>
      <c r="H36" s="2838"/>
      <c r="I36" s="2838"/>
      <c r="J36" s="2614"/>
      <c r="K36" s="2789"/>
      <c r="L36" s="2786"/>
      <c r="M36" s="2786"/>
      <c r="N36" s="2614"/>
      <c r="O36" s="2625"/>
      <c r="P36" s="2614"/>
      <c r="Q36" s="2614"/>
      <c r="R36" s="2614"/>
      <c r="S36" s="2614"/>
      <c r="T36" s="2614"/>
      <c r="U36" s="2614"/>
      <c r="V36" s="2614"/>
    </row>
    <row r="37" spans="1:30">
      <c r="A37" s="2804" t="s">
        <v>2724</v>
      </c>
      <c r="B37" s="2606" t="s">
        <v>268</v>
      </c>
      <c r="C37" s="2606"/>
      <c r="D37" s="2606"/>
      <c r="E37" s="2606"/>
      <c r="F37" s="2844"/>
      <c r="G37" s="2838"/>
      <c r="H37" s="2838"/>
      <c r="I37" s="2838"/>
      <c r="J37" s="2614"/>
      <c r="K37" s="2789"/>
      <c r="L37" s="2786"/>
      <c r="M37" s="2786"/>
      <c r="N37" s="2614"/>
      <c r="O37" s="2625"/>
      <c r="P37" s="2614"/>
      <c r="Q37" s="2614"/>
      <c r="R37" s="2614"/>
      <c r="S37" s="2614"/>
      <c r="T37" s="2614"/>
      <c r="U37" s="2614"/>
      <c r="V37" s="2614"/>
    </row>
    <row r="38" spans="1:30" ht="13.5" thickBot="1">
      <c r="A38" s="2805" t="s">
        <v>2725</v>
      </c>
      <c r="B38" s="2607" t="s">
        <v>342</v>
      </c>
      <c r="C38" s="2607"/>
      <c r="D38" s="2607"/>
      <c r="E38" s="2607"/>
      <c r="F38" s="2845"/>
      <c r="G38" s="2839"/>
      <c r="H38" s="2839"/>
      <c r="I38" s="2839"/>
      <c r="J38" s="2614"/>
      <c r="K38" s="2789"/>
      <c r="L38" s="2786"/>
      <c r="M38" s="2786"/>
      <c r="N38" s="2614"/>
      <c r="O38" s="2625"/>
      <c r="P38" s="2614"/>
      <c r="Q38" s="2614"/>
      <c r="R38" s="2614"/>
      <c r="S38" s="2614"/>
      <c r="T38" s="2614"/>
      <c r="U38" s="2614"/>
      <c r="V38" s="2614"/>
    </row>
    <row r="39" spans="1:30" s="2610" customFormat="1" ht="14.25" thickTop="1" thickBot="1">
      <c r="A39" s="2608" t="s">
        <v>2726</v>
      </c>
      <c r="B39" s="2609"/>
      <c r="C39" s="2609"/>
      <c r="D39" s="2609"/>
      <c r="E39" s="2609"/>
      <c r="F39" s="2609"/>
      <c r="G39" s="2609"/>
      <c r="H39" s="2609"/>
      <c r="I39" s="2609"/>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4"/>
      <c r="J40" s="2682"/>
      <c r="K40" s="2788"/>
      <c r="L40" s="2626"/>
      <c r="M40" s="2626"/>
      <c r="N40" s="2682"/>
      <c r="O40" s="2626"/>
      <c r="P40" s="2614"/>
      <c r="Q40" s="2614"/>
      <c r="R40" s="2614"/>
      <c r="S40" s="2614"/>
      <c r="T40" s="2614"/>
      <c r="U40" s="2614"/>
      <c r="V40" s="2614"/>
    </row>
    <row r="41" spans="1:30">
      <c r="A41" s="2611" t="s">
        <v>2727</v>
      </c>
      <c r="B41" s="1894"/>
      <c r="C41" s="1508"/>
      <c r="D41" s="2543"/>
      <c r="E41" s="2543"/>
      <c r="F41" s="2543"/>
      <c r="G41" s="2543"/>
      <c r="H41" s="2543"/>
      <c r="I41" s="1712"/>
      <c r="J41" s="2614"/>
      <c r="K41" s="2789"/>
      <c r="L41" s="2786"/>
      <c r="M41" s="2786"/>
      <c r="N41" s="2614"/>
      <c r="O41" s="2625"/>
      <c r="P41" s="2614"/>
      <c r="Q41" s="2614"/>
      <c r="R41" s="2614"/>
      <c r="S41" s="2614"/>
      <c r="T41" s="2614"/>
      <c r="U41" s="2614"/>
      <c r="V41" s="2614"/>
    </row>
    <row r="42" spans="1:30" ht="25.5">
      <c r="A42" s="329" t="s">
        <v>2728</v>
      </c>
      <c r="B42" s="11" t="s">
        <v>2729</v>
      </c>
      <c r="C42" s="11" t="s">
        <v>2730</v>
      </c>
      <c r="D42" s="11" t="s">
        <v>2731</v>
      </c>
      <c r="E42" s="11" t="s">
        <v>2732</v>
      </c>
      <c r="F42" s="11" t="s">
        <v>2733</v>
      </c>
      <c r="G42" s="11" t="s">
        <v>2734</v>
      </c>
      <c r="H42" s="11" t="s">
        <v>2735</v>
      </c>
      <c r="I42" s="11" t="s">
        <v>2736</v>
      </c>
      <c r="J42" s="2800" t="s">
        <v>2737</v>
      </c>
      <c r="K42" s="2801" t="s">
        <v>2738</v>
      </c>
      <c r="L42" s="2801" t="s">
        <v>2739</v>
      </c>
      <c r="M42" s="2801" t="s">
        <v>2740</v>
      </c>
      <c r="N42" s="2794" t="s">
        <v>2741</v>
      </c>
      <c r="O42" s="2794" t="s">
        <v>2742</v>
      </c>
      <c r="P42" s="2794" t="s">
        <v>2743</v>
      </c>
      <c r="Q42" s="2795" t="s">
        <v>2744</v>
      </c>
      <c r="R42" s="2795" t="s">
        <v>2745</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9" customWidth="1"/>
    <col min="2" max="2" width="11" style="1709" customWidth="1"/>
    <col min="3" max="3" width="12"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1503</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1504</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1505</v>
      </c>
      <c r="B2" s="11" t="s">
        <v>1506</v>
      </c>
      <c r="C2" s="11" t="s">
        <v>1507</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1508</v>
      </c>
      <c r="AZ2" s="1161" t="s">
        <v>1509</v>
      </c>
      <c r="BA2" s="11" t="s">
        <v>1510</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大厦及北里!B59</f>
        <v>12916.27</v>
      </c>
      <c r="B3" s="14">
        <f>IF(C3="否",G5-AT5,G5)</f>
        <v>69678.799999999988</v>
      </c>
      <c r="C3" s="1716" t="s">
        <v>1511</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1512</v>
      </c>
      <c r="B5" s="1482"/>
      <c r="C5" s="1482"/>
      <c r="D5" s="1484"/>
      <c r="E5" s="16" t="s">
        <v>1</v>
      </c>
      <c r="F5" s="16">
        <f>SUM(F13:F587)</f>
        <v>0</v>
      </c>
      <c r="G5" s="16">
        <f>SUM(G13:G587)</f>
        <v>69678.799999999988</v>
      </c>
      <c r="H5" s="16">
        <f t="shared" ref="H5:AT5" si="0">SUM(H13:H656)</f>
        <v>69678.799999999988</v>
      </c>
      <c r="I5" s="16">
        <f t="shared" si="0"/>
        <v>55188.19999999999</v>
      </c>
      <c r="J5" s="16">
        <f t="shared" si="0"/>
        <v>0</v>
      </c>
      <c r="K5" s="16">
        <f t="shared" si="0"/>
        <v>14490.6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1512</v>
      </c>
      <c r="AW5" s="1482"/>
      <c r="AX5" s="1482"/>
      <c r="AY5" s="17" t="s">
        <v>3</v>
      </c>
      <c r="AZ5" s="18">
        <f t="shared" ref="AZ5:BT5" si="1">SUM(AZ13:AZ656)</f>
        <v>58300.299999999996</v>
      </c>
      <c r="BA5" s="18">
        <f t="shared" si="1"/>
        <v>58300.299999999996</v>
      </c>
      <c r="BB5" s="18">
        <f t="shared" si="1"/>
        <v>45126.799999999996</v>
      </c>
      <c r="BC5" s="18">
        <f t="shared" si="1"/>
        <v>13173.5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1513</v>
      </c>
      <c r="B6" s="1722"/>
      <c r="C6" s="1722"/>
      <c r="D6" s="1723"/>
      <c r="E6" s="16">
        <f>H6+AC6+AT6</f>
        <v>12916.27</v>
      </c>
      <c r="F6" s="16" t="s">
        <v>1</v>
      </c>
      <c r="G6" s="16" t="s">
        <v>2</v>
      </c>
      <c r="H6" s="20">
        <f>SUMIF(I$12:AB$12,"总值",I6:AB6)</f>
        <v>12916.27</v>
      </c>
      <c r="I6" s="16">
        <f t="shared" ref="I6:AB6" si="2">ROUND($A$3*I5/$B$3,2)</f>
        <v>10230.17</v>
      </c>
      <c r="J6" s="16">
        <f t="shared" si="2"/>
        <v>0</v>
      </c>
      <c r="K6" s="16">
        <f t="shared" si="2"/>
        <v>2686.1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1513</v>
      </c>
      <c r="AW6" s="1722"/>
      <c r="AX6" s="1722"/>
      <c r="AY6" s="21">
        <f>IF(AY3&gt;0,AY3,ROUND($A$3*AZ5/$B$3,2))</f>
        <v>10807.05</v>
      </c>
      <c r="AZ6" s="16" t="s">
        <v>3</v>
      </c>
      <c r="BA6" s="16">
        <f>ROUND($AY$6*BA5/$AZ$5,2)</f>
        <v>10807.05</v>
      </c>
      <c r="BB6" s="16">
        <f>ROUND($AY$6*BB5/$AZ$5,2)</f>
        <v>8365.1</v>
      </c>
      <c r="BC6" s="16">
        <f t="shared" ref="BC6:BH6" si="4">ROUND($AY$6*BC5/$AZ$5,2)</f>
        <v>2441.9499999999998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1514</v>
      </c>
      <c r="B7" s="1705" t="s">
        <v>1515</v>
      </c>
      <c r="C7" s="1705" t="s">
        <v>1516</v>
      </c>
      <c r="D7" s="1705" t="s">
        <v>1517</v>
      </c>
      <c r="E7" s="1705" t="s">
        <v>1518</v>
      </c>
      <c r="F7" s="1705" t="s">
        <v>1519</v>
      </c>
      <c r="G7" s="1726" t="s">
        <v>1520</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1521</v>
      </c>
      <c r="AV7" s="23" t="s">
        <v>1522</v>
      </c>
      <c r="AW7" s="1714" t="s">
        <v>1523</v>
      </c>
      <c r="AX7" s="23" t="s">
        <v>1516</v>
      </c>
      <c r="AY7" s="1482" t="s">
        <v>1524</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1525</v>
      </c>
      <c r="H8" s="1732" t="s">
        <v>1526</v>
      </c>
      <c r="I8" s="1733"/>
      <c r="J8" s="1495"/>
      <c r="K8" s="1495"/>
      <c r="L8" s="1495"/>
      <c r="M8" s="1495"/>
      <c r="N8" s="1495"/>
      <c r="O8" s="1495"/>
      <c r="P8" s="1495"/>
      <c r="Q8" s="1495"/>
      <c r="R8" s="1495"/>
      <c r="S8" s="1495"/>
      <c r="T8" s="1495"/>
      <c r="U8" s="1495"/>
      <c r="V8" s="1734"/>
      <c r="W8" s="1495"/>
      <c r="X8" s="1495"/>
      <c r="Y8" s="1495"/>
      <c r="Z8" s="1495"/>
      <c r="AA8" s="1734"/>
      <c r="AB8" s="1735"/>
      <c r="AC8" s="899" t="s">
        <v>1527</v>
      </c>
      <c r="AD8" s="1736"/>
      <c r="AE8" s="1728"/>
      <c r="AF8" s="1495"/>
      <c r="AG8" s="1495"/>
      <c r="AH8" s="1495"/>
      <c r="AI8" s="1495"/>
      <c r="AJ8" s="1495"/>
      <c r="AK8" s="1495"/>
      <c r="AL8" s="1495"/>
      <c r="AM8" s="1495"/>
      <c r="AN8" s="1495"/>
      <c r="AO8" s="1495"/>
      <c r="AP8" s="1495"/>
      <c r="AQ8" s="1495"/>
      <c r="AR8" s="1495"/>
      <c r="AS8" s="1495"/>
      <c r="AT8" s="1183" t="s">
        <v>1528</v>
      </c>
      <c r="AU8" s="1730" t="s">
        <v>1529</v>
      </c>
      <c r="AV8" s="1183"/>
      <c r="AW8" s="1713"/>
      <c r="AX8" s="1183"/>
      <c r="AY8" s="1714" t="s">
        <v>1530</v>
      </c>
      <c r="AZ8" s="1494" t="s">
        <v>1531</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1532</v>
      </c>
      <c r="I9" s="1739" t="s">
        <v>3443</v>
      </c>
      <c r="J9" s="899"/>
      <c r="K9" s="1739" t="s">
        <v>3444</v>
      </c>
      <c r="L9" s="899"/>
      <c r="M9" s="1739"/>
      <c r="N9" s="899"/>
      <c r="O9" s="1739"/>
      <c r="P9" s="899"/>
      <c r="Q9" s="1739"/>
      <c r="R9" s="899"/>
      <c r="S9" s="1739"/>
      <c r="T9" s="899"/>
      <c r="U9" s="1739"/>
      <c r="V9" s="899"/>
      <c r="W9" s="1739"/>
      <c r="X9" s="1740"/>
      <c r="Y9" s="1739"/>
      <c r="Z9" s="899"/>
      <c r="AA9" s="1739"/>
      <c r="AB9" s="899"/>
      <c r="AC9" s="1731" t="s">
        <v>1532</v>
      </c>
      <c r="AD9" s="15" t="s">
        <v>1533</v>
      </c>
      <c r="AE9" s="1189"/>
      <c r="AF9" s="15" t="s">
        <v>1534</v>
      </c>
      <c r="AG9" s="1189"/>
      <c r="AH9" s="15" t="s">
        <v>1533</v>
      </c>
      <c r="AI9" s="1189"/>
      <c r="AJ9" s="15" t="s">
        <v>1534</v>
      </c>
      <c r="AK9" s="1189"/>
      <c r="AL9" s="15" t="s">
        <v>1533</v>
      </c>
      <c r="AM9" s="1189"/>
      <c r="AN9" s="15" t="s">
        <v>1534</v>
      </c>
      <c r="AO9" s="1189"/>
      <c r="AP9" s="15" t="s">
        <v>1533</v>
      </c>
      <c r="AQ9" s="1189"/>
      <c r="AR9" s="15" t="s">
        <v>1534</v>
      </c>
      <c r="AS9" s="1741"/>
      <c r="AT9" s="1730"/>
      <c r="AU9" s="1730" t="s">
        <v>1535</v>
      </c>
      <c r="AV9" s="1183"/>
      <c r="AW9" s="1713"/>
      <c r="AX9" s="1183"/>
      <c r="AY9" s="28"/>
      <c r="AZ9" s="28" t="s">
        <v>1525</v>
      </c>
      <c r="BA9" s="1742" t="s">
        <v>1536</v>
      </c>
      <c r="BB9" s="1743"/>
      <c r="BC9" s="1201"/>
      <c r="BD9" s="1201"/>
      <c r="BE9" s="1201"/>
      <c r="BF9" s="1201"/>
      <c r="BG9" s="1201"/>
      <c r="BH9" s="1201"/>
      <c r="BI9" s="1201"/>
      <c r="BJ9" s="1201"/>
      <c r="BK9" s="1744"/>
      <c r="BL9" s="15" t="s">
        <v>1537</v>
      </c>
      <c r="BM9" s="1495"/>
      <c r="BN9" s="1733"/>
      <c r="BO9" s="1495"/>
      <c r="BP9" s="1495"/>
      <c r="BQ9" s="1495"/>
      <c r="BR9" s="1495"/>
      <c r="BS9" s="1495"/>
      <c r="BT9" s="26"/>
    </row>
    <row r="10" spans="1:72" s="1737" customFormat="1" ht="12.75">
      <c r="A10" s="1730"/>
      <c r="B10" s="1730"/>
      <c r="C10" s="1730"/>
      <c r="D10" s="1730"/>
      <c r="E10" s="1730"/>
      <c r="F10" s="1730"/>
      <c r="G10" s="1183"/>
      <c r="H10" s="28"/>
      <c r="I10" s="1739" t="s">
        <v>1098</v>
      </c>
      <c r="J10" s="899"/>
      <c r="K10" s="1745" t="s">
        <v>1098</v>
      </c>
      <c r="L10" s="899"/>
      <c r="M10" s="1745"/>
      <c r="N10" s="899"/>
      <c r="O10" s="1745"/>
      <c r="P10" s="899"/>
      <c r="Q10" s="1745"/>
      <c r="R10" s="899"/>
      <c r="S10" s="1745"/>
      <c r="T10" s="899"/>
      <c r="U10" s="1745"/>
      <c r="V10" s="899"/>
      <c r="W10" s="1745"/>
      <c r="X10" s="899"/>
      <c r="Y10" s="1745"/>
      <c r="Z10" s="899"/>
      <c r="AA10" s="1745"/>
      <c r="AB10" s="899"/>
      <c r="AC10" s="1183"/>
      <c r="AD10" s="15" t="s">
        <v>1538</v>
      </c>
      <c r="AE10" s="1746"/>
      <c r="AF10" s="15" t="s">
        <v>1538</v>
      </c>
      <c r="AG10" s="1746"/>
      <c r="AH10" s="15" t="s">
        <v>1539</v>
      </c>
      <c r="AI10" s="1746"/>
      <c r="AJ10" s="15" t="s">
        <v>1539</v>
      </c>
      <c r="AK10" s="1746"/>
      <c r="AL10" s="15" t="s">
        <v>1540</v>
      </c>
      <c r="AM10" s="1189"/>
      <c r="AN10" s="15" t="s">
        <v>1540</v>
      </c>
      <c r="AO10" s="1189"/>
      <c r="AP10" s="15" t="s">
        <v>1541</v>
      </c>
      <c r="AQ10" s="1189"/>
      <c r="AR10" s="15" t="s">
        <v>1541</v>
      </c>
      <c r="AS10" s="1189"/>
      <c r="AT10" s="1730"/>
      <c r="AU10" s="1730"/>
      <c r="AV10" s="1183"/>
      <c r="AW10" s="1713"/>
      <c r="AX10" s="1183"/>
      <c r="AY10" s="28"/>
      <c r="AZ10" s="28"/>
      <c r="BA10" s="1747" t="s">
        <v>1532</v>
      </c>
      <c r="BB10" s="1748" t="str">
        <f>I9</f>
        <v>地上</v>
      </c>
      <c r="BC10" s="29" t="str">
        <f>K9</f>
        <v>地下</v>
      </c>
      <c r="BD10" s="29">
        <f>M9</f>
        <v>0</v>
      </c>
      <c r="BE10" s="29">
        <f>O9</f>
        <v>0</v>
      </c>
      <c r="BF10" s="29">
        <f>Q9</f>
        <v>0</v>
      </c>
      <c r="BG10" s="29">
        <f>S9</f>
        <v>0</v>
      </c>
      <c r="BH10" s="29">
        <f>U9</f>
        <v>0</v>
      </c>
      <c r="BI10" s="29">
        <f>W9</f>
        <v>0</v>
      </c>
      <c r="BJ10" s="29">
        <f>Y9</f>
        <v>0</v>
      </c>
      <c r="BK10" s="29">
        <f>AA9</f>
        <v>0</v>
      </c>
      <c r="BL10" s="25" t="s">
        <v>1532</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3478</v>
      </c>
      <c r="J11" s="1751"/>
      <c r="K11" s="1750" t="s">
        <v>3478</v>
      </c>
      <c r="L11" s="1751"/>
      <c r="M11" s="1750"/>
      <c r="N11" s="1751"/>
      <c r="O11" s="1750"/>
      <c r="P11" s="1751"/>
      <c r="Q11" s="1750"/>
      <c r="R11" s="1751"/>
      <c r="S11" s="1750"/>
      <c r="T11" s="1751"/>
      <c r="U11" s="1750"/>
      <c r="V11" s="1751"/>
      <c r="W11" s="1750"/>
      <c r="X11" s="1751"/>
      <c r="Y11" s="1750"/>
      <c r="Z11" s="1751"/>
      <c r="AA11" s="1750"/>
      <c r="AB11" s="1751"/>
      <c r="AC11" s="1183"/>
      <c r="AD11" s="1752" t="s">
        <v>1542</v>
      </c>
      <c r="AE11" s="1496"/>
      <c r="AF11" s="1752" t="s">
        <v>1542</v>
      </c>
      <c r="AG11" s="1496"/>
      <c r="AH11" s="1752" t="s">
        <v>1543</v>
      </c>
      <c r="AI11" s="1753"/>
      <c r="AJ11" s="1752" t="s">
        <v>1543</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81" t="s">
        <v>1545</v>
      </c>
      <c r="W12" s="11" t="s">
        <v>1544</v>
      </c>
      <c r="X12" s="11" t="s">
        <v>1545</v>
      </c>
      <c r="Y12" s="11" t="s">
        <v>1544</v>
      </c>
      <c r="Z12" s="11" t="s">
        <v>1545</v>
      </c>
      <c r="AA12" s="11" t="s">
        <v>1544</v>
      </c>
      <c r="AB12" s="11" t="s">
        <v>1545</v>
      </c>
      <c r="AC12" s="1757"/>
      <c r="AD12" s="1484"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55" t="s">
        <v>1545</v>
      </c>
      <c r="AT12" s="1758"/>
      <c r="AU12" s="1755"/>
      <c r="AV12" s="31"/>
      <c r="AW12" s="1714"/>
      <c r="AX12" s="31"/>
      <c r="AY12" s="1759"/>
      <c r="AZ12" s="28"/>
      <c r="BA12" s="1747"/>
      <c r="BB12" s="24" t="str">
        <f>I11</f>
        <v>独立商业</v>
      </c>
      <c r="BC12" s="1760" t="str">
        <f>K11</f>
        <v>独立商业</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51" t="s">
        <v>3479</v>
      </c>
      <c r="D13" s="1761" t="s">
        <v>3442</v>
      </c>
      <c r="E13" s="16">
        <f>IF($C$3="是",ROUND($A$3*G13/$B$3,2),ROUND($A$3*(G13-AT13)/$B$3,2))</f>
        <v>8365.1</v>
      </c>
      <c r="F13" s="32"/>
      <c r="G13" s="33">
        <f>H13+AC13+AT13</f>
        <v>45126.799999999996</v>
      </c>
      <c r="H13" s="20">
        <f>SUMIF(I$12:AB$12,"总值",I13:AB13)</f>
        <v>45126.799999999996</v>
      </c>
      <c r="I13" s="1762">
        <f>大厦及北里!E50+大厦及北里!E37+大厦及北里!E34</f>
        <v>45126.799999999996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大厦地上</v>
      </c>
      <c r="AY13" s="1484">
        <f>ROUND($AY$6*AZ13/$AZ$5,2)</f>
        <v>8365.1</v>
      </c>
      <c r="AZ13" s="16">
        <f>BA13+BL13</f>
        <v>45126.799999999996</v>
      </c>
      <c r="BA13" s="16">
        <f>SUM(BB13:BK13)</f>
        <v>45126.799999999996</v>
      </c>
      <c r="BB13" s="16">
        <f>IF($D13="是",I13-J13,0)</f>
        <v>45126.799999999996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50" t="s">
        <v>3480</v>
      </c>
      <c r="D14" s="1761" t="s">
        <v>3442</v>
      </c>
      <c r="E14" s="16">
        <f>IF($C$3="是",ROUND($A$3*G14/$B$3,2),ROUND($A$3*(G14-AT14)/$B$3,2))</f>
        <v>2441.9499999999998</v>
      </c>
      <c r="F14" s="32"/>
      <c r="G14" s="33">
        <f>H14+AC14+AT14</f>
        <v>13173.5</v>
      </c>
      <c r="H14" s="20">
        <f>SUMIF(I$12:AB$12,"总值",I14:AB14)</f>
        <v>13173.5</v>
      </c>
      <c r="I14" s="1762"/>
      <c r="J14" s="1762"/>
      <c r="K14" s="1762">
        <f>大厦及北里!E38+大厦及北里!E51</f>
        <v>13173.5</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大厦地下</v>
      </c>
      <c r="AY14" s="1484">
        <f>ROUND($AY$6*AZ14/$AZ$5,2)</f>
        <v>2441.9499999999998</v>
      </c>
      <c r="AZ14" s="16">
        <f>BA14+BL14</f>
        <v>13173.5</v>
      </c>
      <c r="BA14" s="16">
        <f>SUM(BB14:BK14)</f>
        <v>13173.5</v>
      </c>
      <c r="BB14" s="16">
        <f>IF($D14="是",I14-J14,0)</f>
        <v>0</v>
      </c>
      <c r="BC14" s="16">
        <f>IF($D14="是",K14-L14,0)</f>
        <v>13173.5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3250" t="s">
        <v>3481</v>
      </c>
      <c r="D15" s="1761" t="s">
        <v>3469</v>
      </c>
      <c r="E15" s="16">
        <f>IF($C$3="是",ROUND($A$3*G15/$B$3,2),ROUND($A$3*(G15-AT15)/$B$3,2))</f>
        <v>2085.79</v>
      </c>
      <c r="F15" s="32"/>
      <c r="G15" s="33">
        <f>H15+AC15+AT15</f>
        <v>11252.099999999993</v>
      </c>
      <c r="H15" s="20">
        <f>SUMIF(I$12:AB$12,"总值",I15:AB15)</f>
        <v>11252.099999999993</v>
      </c>
      <c r="I15" s="1762">
        <f>大厦及北里!E52-K15-I16-I13-K14</f>
        <v>9934.9999999999927</v>
      </c>
      <c r="J15" s="1762"/>
      <c r="K15" s="1762">
        <f>大厦及北里!E40+大厦及北里!E44+大厦及北里!E47</f>
        <v>1317.1</v>
      </c>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后院</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t="s">
        <v>3528</v>
      </c>
      <c r="D16" s="1761" t="s">
        <v>3469</v>
      </c>
      <c r="E16" s="16">
        <f>IF($C$3="是",ROUND($A$3*G16/$B$3,2),ROUND($A$3*(G16-AT16)/$B$3,2))</f>
        <v>23.43</v>
      </c>
      <c r="F16" s="32"/>
      <c r="G16" s="33">
        <f>H16+AC16+AT16</f>
        <v>126.4</v>
      </c>
      <c r="H16" s="20">
        <f>SUMIF(I$12:AB$12,"总值",I16:AB16)</f>
        <v>126.4</v>
      </c>
      <c r="I16" s="1762">
        <f>大厦及北里!E35</f>
        <v>126.4</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9幢不抵押</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5" t="s">
        <v>0</v>
      </c>
      <c r="B1" s="3345" t="s">
        <v>4</v>
      </c>
      <c r="C1" s="3345" t="s">
        <v>5</v>
      </c>
      <c r="D1" s="3346" t="s">
        <v>53</v>
      </c>
      <c r="E1" s="3346" t="s">
        <v>54</v>
      </c>
      <c r="F1" s="3346"/>
      <c r="G1" s="3346"/>
      <c r="H1" s="3346"/>
      <c r="I1" s="3346"/>
      <c r="J1" s="3346"/>
      <c r="K1" s="3346"/>
      <c r="L1" s="3346"/>
      <c r="M1" s="3346"/>
    </row>
    <row r="2" spans="1:13" ht="27" customHeight="1">
      <c r="A2" s="3345"/>
      <c r="B2" s="3345"/>
      <c r="C2" s="3345"/>
      <c r="D2" s="3346"/>
      <c r="E2" s="3346" t="s">
        <v>37</v>
      </c>
      <c r="F2" s="3346" t="s">
        <v>38</v>
      </c>
      <c r="G2" s="3346"/>
      <c r="H2" s="3346"/>
      <c r="I2" s="3346"/>
      <c r="J2" s="3346" t="s">
        <v>39</v>
      </c>
      <c r="K2" s="3346"/>
      <c r="L2" s="3346"/>
      <c r="M2" s="3346"/>
    </row>
    <row r="3" spans="1:13" ht="28.5">
      <c r="A3" s="3345"/>
      <c r="B3" s="3345"/>
      <c r="C3" s="3345"/>
      <c r="D3" s="3346"/>
      <c r="E3" s="33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6" t="s">
        <v>55</v>
      </c>
      <c r="B9" s="3346"/>
      <c r="C9" s="33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T68"/>
  <sheetViews>
    <sheetView topLeftCell="E1" workbookViewId="0">
      <selection activeCell="Q18" sqref="Q18"/>
    </sheetView>
  </sheetViews>
  <sheetFormatPr defaultRowHeight="13.5"/>
  <cols>
    <col min="1" max="1" width="13" bestFit="1" customWidth="1"/>
    <col min="2" max="2" width="28.875" customWidth="1"/>
    <col min="4" max="4" width="11" bestFit="1" customWidth="1"/>
    <col min="6" max="6" width="13.875" customWidth="1"/>
    <col min="12" max="12" width="13.75" style="3" customWidth="1"/>
  </cols>
  <sheetData>
    <row r="2" spans="1:20" s="3235" customFormat="1" ht="13.5" customHeight="1">
      <c r="A2" s="3236" t="s">
        <v>3398</v>
      </c>
      <c r="B2" s="3236" t="s">
        <v>3514</v>
      </c>
      <c r="H2" s="3347" t="s">
        <v>3510</v>
      </c>
      <c r="I2" s="3348"/>
      <c r="J2" s="3348"/>
      <c r="K2" s="3348"/>
      <c r="L2" s="3348"/>
      <c r="N2" s="3347" t="s">
        <v>3587</v>
      </c>
      <c r="O2" s="3347"/>
      <c r="P2" s="3347"/>
      <c r="Q2" s="3347"/>
      <c r="R2" s="3347"/>
      <c r="S2" s="3347"/>
      <c r="T2" s="3347"/>
    </row>
    <row r="3" spans="1:20">
      <c r="A3" s="3228" t="s">
        <v>3399</v>
      </c>
      <c r="B3" s="3228" t="s">
        <v>3512</v>
      </c>
      <c r="H3" s="3348"/>
      <c r="I3" s="3348"/>
      <c r="J3" s="3348"/>
      <c r="K3" s="3348"/>
      <c r="L3" s="3348"/>
      <c r="N3" s="3347"/>
      <c r="O3" s="3347"/>
      <c r="P3" s="3347"/>
      <c r="Q3" s="3347"/>
      <c r="R3" s="3347"/>
      <c r="S3" s="3347"/>
      <c r="T3" s="3347"/>
    </row>
    <row r="4" spans="1:20" ht="27">
      <c r="A4" s="3228" t="s">
        <v>3401</v>
      </c>
      <c r="B4" s="3237" t="s">
        <v>3513</v>
      </c>
      <c r="H4" s="3348"/>
      <c r="I4" s="3348"/>
      <c r="J4" s="3348"/>
      <c r="K4" s="3348"/>
      <c r="L4" s="3348"/>
      <c r="N4" s="3347"/>
      <c r="O4" s="3347"/>
      <c r="P4" s="3347"/>
      <c r="Q4" s="3347"/>
      <c r="R4" s="3347"/>
      <c r="S4" s="3347"/>
      <c r="T4" s="3347"/>
    </row>
    <row r="5" spans="1:20">
      <c r="A5" s="3228" t="s">
        <v>3402</v>
      </c>
      <c r="B5" s="3228" t="s">
        <v>3403</v>
      </c>
      <c r="D5" s="3228" t="s">
        <v>3405</v>
      </c>
      <c r="E5">
        <v>74826.3</v>
      </c>
      <c r="H5" s="3348"/>
      <c r="I5" s="3348"/>
      <c r="J5" s="3348"/>
      <c r="K5" s="3348"/>
      <c r="L5" s="3348"/>
      <c r="N5" s="3347"/>
      <c r="O5" s="3347"/>
      <c r="P5" s="3347"/>
      <c r="Q5" s="3347"/>
      <c r="R5" s="3347"/>
      <c r="S5" s="3347"/>
      <c r="T5" s="3347"/>
    </row>
    <row r="6" spans="1:20">
      <c r="A6" s="3228" t="s">
        <v>3406</v>
      </c>
      <c r="B6">
        <v>3919.4</v>
      </c>
      <c r="D6" s="3228" t="s">
        <v>3408</v>
      </c>
      <c r="E6">
        <v>4.4400000000000004</v>
      </c>
      <c r="N6" s="3347"/>
      <c r="O6" s="3347"/>
      <c r="P6" s="3347"/>
      <c r="Q6" s="3347"/>
      <c r="R6" s="3347"/>
      <c r="S6" s="3347"/>
      <c r="T6" s="3347"/>
    </row>
    <row r="7" spans="1:20">
      <c r="A7" s="3228" t="s">
        <v>3409</v>
      </c>
      <c r="B7">
        <v>5147.5</v>
      </c>
      <c r="D7" s="3228" t="s">
        <v>3411</v>
      </c>
      <c r="E7">
        <v>0.55000000000000004</v>
      </c>
      <c r="G7" s="3228" t="s">
        <v>3455</v>
      </c>
      <c r="H7">
        <v>5</v>
      </c>
      <c r="J7" s="3228" t="s">
        <v>3453</v>
      </c>
      <c r="N7" s="3347"/>
      <c r="O7" s="3347"/>
      <c r="P7" s="3347"/>
      <c r="Q7" s="3347"/>
      <c r="R7" s="3347"/>
      <c r="S7" s="3347"/>
      <c r="T7" s="3347"/>
    </row>
    <row r="8" spans="1:20">
      <c r="A8" s="3228" t="s">
        <v>3412</v>
      </c>
      <c r="B8" s="3238">
        <v>60418</v>
      </c>
      <c r="G8" s="3228" t="s">
        <v>3454</v>
      </c>
      <c r="H8">
        <v>8</v>
      </c>
      <c r="I8" s="3228" t="s">
        <v>3449</v>
      </c>
      <c r="J8" s="3228" t="s">
        <v>3446</v>
      </c>
      <c r="K8">
        <v>1</v>
      </c>
      <c r="N8" s="3347"/>
      <c r="O8" s="3347"/>
      <c r="P8" s="3347"/>
      <c r="Q8" s="3347"/>
      <c r="R8" s="3347"/>
      <c r="S8" s="3347"/>
      <c r="T8" s="3347"/>
    </row>
    <row r="9" spans="1:20">
      <c r="A9" s="3228" t="s">
        <v>3413</v>
      </c>
      <c r="B9" s="3228" t="s">
        <v>3414</v>
      </c>
      <c r="C9" s="3228" t="s">
        <v>3415</v>
      </c>
      <c r="D9" s="3228" t="s">
        <v>3416</v>
      </c>
      <c r="E9" s="3228" t="s">
        <v>3418</v>
      </c>
      <c r="F9" s="3228" t="s">
        <v>3456</v>
      </c>
      <c r="G9" s="3245" t="s">
        <v>3457</v>
      </c>
      <c r="H9" s="3245"/>
      <c r="I9" s="3245"/>
      <c r="J9" s="3245" t="s">
        <v>3450</v>
      </c>
      <c r="K9" s="3245">
        <v>0.7</v>
      </c>
      <c r="N9" s="3347"/>
      <c r="O9" s="3347"/>
      <c r="P9" s="3347"/>
      <c r="Q9" s="3347"/>
      <c r="R9" s="3347"/>
      <c r="S9" s="3347"/>
      <c r="T9" s="3347"/>
    </row>
    <row r="10" spans="1:20">
      <c r="A10">
        <v>16</v>
      </c>
      <c r="B10" s="3228" t="s">
        <v>3447</v>
      </c>
      <c r="C10" s="3228" t="s">
        <v>3419</v>
      </c>
      <c r="D10">
        <v>2000</v>
      </c>
      <c r="E10">
        <v>254.1</v>
      </c>
      <c r="F10">
        <f>E10</f>
        <v>254.1</v>
      </c>
      <c r="G10">
        <v>5</v>
      </c>
      <c r="J10" s="3228" t="s">
        <v>3451</v>
      </c>
      <c r="K10">
        <v>0.6</v>
      </c>
      <c r="N10" s="3347"/>
      <c r="O10" s="3347"/>
      <c r="P10" s="3347"/>
      <c r="Q10" s="3347"/>
      <c r="R10" s="3347"/>
      <c r="S10" s="3347"/>
      <c r="T10" s="3347"/>
    </row>
    <row r="11" spans="1:20">
      <c r="A11">
        <v>25</v>
      </c>
      <c r="B11" s="3228" t="s">
        <v>3448</v>
      </c>
      <c r="C11" s="3228" t="s">
        <v>3419</v>
      </c>
      <c r="D11">
        <v>1970</v>
      </c>
      <c r="E11">
        <v>12.8</v>
      </c>
      <c r="F11">
        <f>B21</f>
        <v>64.33</v>
      </c>
      <c r="G11">
        <f>H8</f>
        <v>8</v>
      </c>
      <c r="I11" s="3228"/>
      <c r="J11" s="3228" t="s">
        <v>3452</v>
      </c>
      <c r="K11">
        <v>0.4</v>
      </c>
    </row>
    <row r="12" spans="1:20">
      <c r="A12">
        <v>20</v>
      </c>
      <c r="B12">
        <v>2</v>
      </c>
      <c r="C12" s="3228" t="s">
        <v>3419</v>
      </c>
      <c r="D12">
        <v>1980</v>
      </c>
      <c r="E12">
        <v>720.8</v>
      </c>
      <c r="F12">
        <f>E12</f>
        <v>720.8</v>
      </c>
      <c r="G12">
        <f>(H8+H8*K9)/2</f>
        <v>6.8</v>
      </c>
      <c r="J12" s="3228" t="s">
        <v>3486</v>
      </c>
      <c r="K12">
        <v>6</v>
      </c>
      <c r="P12">
        <v>2018</v>
      </c>
      <c r="Q12">
        <v>2019</v>
      </c>
      <c r="R12">
        <v>2020</v>
      </c>
      <c r="S12">
        <v>2021</v>
      </c>
    </row>
    <row r="13" spans="1:20">
      <c r="A13">
        <v>24</v>
      </c>
      <c r="B13">
        <v>5</v>
      </c>
      <c r="C13" s="3228" t="s">
        <v>3419</v>
      </c>
      <c r="D13">
        <v>1980</v>
      </c>
      <c r="E13">
        <v>3466.5</v>
      </c>
      <c r="F13">
        <f t="shared" ref="F13:F14" si="0">E13</f>
        <v>3466.5</v>
      </c>
      <c r="G13">
        <v>6</v>
      </c>
      <c r="O13" s="3228" t="s">
        <v>3505</v>
      </c>
      <c r="P13">
        <v>4964</v>
      </c>
      <c r="Q13">
        <v>10297</v>
      </c>
      <c r="R13">
        <v>10114</v>
      </c>
      <c r="S13">
        <v>9184</v>
      </c>
    </row>
    <row r="14" spans="1:20">
      <c r="A14">
        <v>24</v>
      </c>
      <c r="B14">
        <v>-1</v>
      </c>
      <c r="C14" s="3228" t="s">
        <v>3419</v>
      </c>
      <c r="D14">
        <v>1980</v>
      </c>
      <c r="E14">
        <v>693.3</v>
      </c>
      <c r="F14">
        <f t="shared" si="0"/>
        <v>693.3</v>
      </c>
      <c r="G14">
        <v>2.5</v>
      </c>
      <c r="O14" s="3228" t="s">
        <v>3506</v>
      </c>
      <c r="Q14">
        <v>207</v>
      </c>
      <c r="R14">
        <v>403</v>
      </c>
      <c r="S14">
        <v>462</v>
      </c>
    </row>
    <row r="15" spans="1:20">
      <c r="E15">
        <f>SUM(E10:E14)</f>
        <v>5147.5</v>
      </c>
      <c r="F15">
        <f>SUM(F10:F14)</f>
        <v>5199.03</v>
      </c>
      <c r="G15" s="3235">
        <f>ROUND((G10*F10+G11*F11+G12*F12+G13*F13+G14*F14)/F15,2)</f>
        <v>5.62</v>
      </c>
      <c r="P15">
        <f>SUM(P13:P14)</f>
        <v>4964</v>
      </c>
      <c r="Q15">
        <f>SUM(Q13:Q14)</f>
        <v>10504</v>
      </c>
      <c r="R15">
        <f>SUM(R13:R14)</f>
        <v>10517</v>
      </c>
      <c r="S15">
        <f>SUM(S13:S14)</f>
        <v>9646</v>
      </c>
    </row>
    <row r="16" spans="1:20">
      <c r="P16">
        <f>P15/(34544.51+2843)*'数据-汇总表'!$F$19/0.9</f>
        <v>6657.2866832919435</v>
      </c>
      <c r="Q16">
        <f>Q15/(34544.51+2843)*'数据-汇总表'!$F$19/0.9</f>
        <v>14087.054657795845</v>
      </c>
      <c r="R16">
        <f>R15/(34544.51+2843)*'数据-汇总表'!$F$19/0.9</f>
        <v>14104.489131382226</v>
      </c>
      <c r="S16">
        <f>S15/(34544.51+2843)*'数据-汇总表'!$F$19/0.9</f>
        <v>12936.3794010947</v>
      </c>
    </row>
    <row r="17" spans="1:12" s="3235" customFormat="1">
      <c r="A17" s="3236" t="s">
        <v>3420</v>
      </c>
      <c r="B17" s="3236" t="s">
        <v>3515</v>
      </c>
      <c r="L17" s="3252"/>
    </row>
    <row r="18" spans="1:12">
      <c r="A18" s="3228" t="s">
        <v>3421</v>
      </c>
      <c r="B18" s="3228" t="s">
        <v>3400</v>
      </c>
      <c r="H18">
        <f>F15+E52-E50-E51-E37-E38</f>
        <v>16647.629999999986</v>
      </c>
    </row>
    <row r="19" spans="1:12" ht="27">
      <c r="A19" s="3228" t="s">
        <v>3401</v>
      </c>
      <c r="B19" s="3237" t="s">
        <v>3422</v>
      </c>
      <c r="I19" s="3228" t="s">
        <v>3531</v>
      </c>
      <c r="J19" s="3228" t="s">
        <v>3532</v>
      </c>
    </row>
    <row r="20" spans="1:12">
      <c r="A20" s="3228" t="s">
        <v>3402</v>
      </c>
      <c r="B20" s="3228" t="s">
        <v>3403</v>
      </c>
      <c r="D20" s="3228" t="s">
        <v>3405</v>
      </c>
      <c r="E20">
        <v>74877.83</v>
      </c>
      <c r="F20">
        <f>ROUND(E20-E5-(B22-E11),3)</f>
        <v>0</v>
      </c>
      <c r="I20">
        <f>B6+B59</f>
        <v>16835.670000000002</v>
      </c>
      <c r="J20">
        <f>E10+E12+E13+B21+大厦及北里!E34+大厦及北里!E35+大厦及北里!E36+大厦及北里!E37+大厦及北里!E39+大厦及北里!E41+大厦及北里!E42+大厦及北里!E43+大厦及北里!E45+大厦及北里!E46+大厦及北里!E48+大厦及北里!E49+大厦及北里!E50</f>
        <v>59693.929999999993</v>
      </c>
      <c r="K20">
        <f>J20/I20</f>
        <v>3.5456818766345495</v>
      </c>
    </row>
    <row r="21" spans="1:12">
      <c r="A21" s="3228" t="s">
        <v>3406</v>
      </c>
      <c r="B21">
        <v>64.33</v>
      </c>
      <c r="D21" s="3228" t="s">
        <v>3408</v>
      </c>
      <c r="E21" s="3243">
        <v>4.45</v>
      </c>
    </row>
    <row r="22" spans="1:12">
      <c r="A22" s="3228" t="s">
        <v>3418</v>
      </c>
      <c r="B22">
        <v>64.33</v>
      </c>
      <c r="D22" s="3228" t="s">
        <v>3411</v>
      </c>
      <c r="E22">
        <v>0.55000000000000004</v>
      </c>
    </row>
    <row r="23" spans="1:12">
      <c r="A23" s="3228" t="s">
        <v>3423</v>
      </c>
      <c r="B23" s="3231" t="s">
        <v>3424</v>
      </c>
    </row>
    <row r="24" spans="1:12">
      <c r="A24" s="3228" t="s">
        <v>3425</v>
      </c>
      <c r="B24" s="3228" t="s">
        <v>3426</v>
      </c>
    </row>
    <row r="25" spans="1:12">
      <c r="A25" s="3228" t="s">
        <v>3408</v>
      </c>
      <c r="B25">
        <v>4.45</v>
      </c>
    </row>
    <row r="27" spans="1:12" s="3235" customFormat="1">
      <c r="A27" s="3236" t="s">
        <v>3420</v>
      </c>
      <c r="B27" s="3236" t="s">
        <v>3474</v>
      </c>
      <c r="L27" s="3252"/>
    </row>
    <row r="28" spans="1:12">
      <c r="A28" s="3228" t="s">
        <v>3427</v>
      </c>
      <c r="B28" s="3228" t="s">
        <v>3400</v>
      </c>
      <c r="H28" s="3228" t="s">
        <v>3490</v>
      </c>
    </row>
    <row r="29" spans="1:12" ht="27">
      <c r="A29" s="3228" t="s">
        <v>3401</v>
      </c>
      <c r="B29" s="3237" t="s">
        <v>3428</v>
      </c>
      <c r="F29" s="3228" t="s">
        <v>3431</v>
      </c>
      <c r="G29">
        <f>G31-G30</f>
        <v>55188.19999999999</v>
      </c>
      <c r="H29">
        <f>ROUND(G29/B59,2)</f>
        <v>4.2699999999999996</v>
      </c>
    </row>
    <row r="30" spans="1:12">
      <c r="A30" s="3228" t="s">
        <v>3402</v>
      </c>
      <c r="B30" s="3228" t="s">
        <v>3403</v>
      </c>
      <c r="G30">
        <f>E38+E40+E44+E47+E51</f>
        <v>14490.6</v>
      </c>
    </row>
    <row r="31" spans="1:12">
      <c r="A31" s="3228" t="s">
        <v>3429</v>
      </c>
      <c r="B31">
        <v>69678.8</v>
      </c>
      <c r="G31">
        <f>E52</f>
        <v>69678.799999999988</v>
      </c>
    </row>
    <row r="33" spans="1:13" ht="27">
      <c r="A33" s="3228" t="s">
        <v>3413</v>
      </c>
      <c r="B33" s="3228" t="s">
        <v>3414</v>
      </c>
      <c r="C33" s="3228" t="s">
        <v>3415</v>
      </c>
      <c r="D33" s="3228" t="s">
        <v>3416</v>
      </c>
      <c r="E33" s="3228" t="s">
        <v>3418</v>
      </c>
      <c r="F33" s="3228" t="s">
        <v>3488</v>
      </c>
      <c r="G33" s="3245" t="s">
        <v>3457</v>
      </c>
      <c r="I33" s="3228" t="s">
        <v>3455</v>
      </c>
      <c r="J33">
        <v>5</v>
      </c>
      <c r="L33" s="3237" t="s">
        <v>3482</v>
      </c>
      <c r="M33">
        <v>2.5</v>
      </c>
    </row>
    <row r="34" spans="1:13">
      <c r="A34" s="3239">
        <v>1</v>
      </c>
      <c r="B34" s="3228" t="s">
        <v>3483</v>
      </c>
      <c r="C34" s="3228" t="s">
        <v>3430</v>
      </c>
      <c r="D34">
        <v>1990</v>
      </c>
      <c r="E34" s="3239">
        <v>70.099999999999994</v>
      </c>
      <c r="G34">
        <f>J34</f>
        <v>8</v>
      </c>
      <c r="I34" s="3228" t="s">
        <v>3454</v>
      </c>
      <c r="J34">
        <v>8</v>
      </c>
      <c r="K34" s="3228" t="s">
        <v>3449</v>
      </c>
      <c r="L34" s="3237" t="s">
        <v>3220</v>
      </c>
      <c r="M34">
        <v>1</v>
      </c>
    </row>
    <row r="35" spans="1:13">
      <c r="A35" s="3239">
        <v>9</v>
      </c>
      <c r="B35" s="3228" t="s">
        <v>3484</v>
      </c>
      <c r="C35" s="3228" t="s">
        <v>3432</v>
      </c>
      <c r="D35">
        <v>1970</v>
      </c>
      <c r="E35" s="3243">
        <v>126.4</v>
      </c>
      <c r="L35" s="3253" t="s">
        <v>3221</v>
      </c>
      <c r="M35" s="3245">
        <v>0.7</v>
      </c>
    </row>
    <row r="36" spans="1:13">
      <c r="A36" s="3239">
        <v>19</v>
      </c>
      <c r="B36" s="3228" t="s">
        <v>3485</v>
      </c>
      <c r="C36" s="3228" t="s">
        <v>3432</v>
      </c>
      <c r="D36">
        <v>1980</v>
      </c>
      <c r="E36">
        <v>228.3</v>
      </c>
      <c r="F36">
        <f>E36</f>
        <v>228.3</v>
      </c>
      <c r="G36">
        <f>J34</f>
        <v>8</v>
      </c>
      <c r="H36">
        <f>G36*F36</f>
        <v>1826.4</v>
      </c>
      <c r="I36" s="3228"/>
      <c r="L36" s="3237" t="s">
        <v>3379</v>
      </c>
      <c r="M36">
        <v>0.6</v>
      </c>
    </row>
    <row r="37" spans="1:13">
      <c r="A37" s="3239">
        <v>2</v>
      </c>
      <c r="B37">
        <v>8</v>
      </c>
      <c r="C37" s="3228" t="s">
        <v>3433</v>
      </c>
      <c r="D37">
        <v>1980</v>
      </c>
      <c r="E37">
        <v>14003.7</v>
      </c>
      <c r="L37" s="3237" t="s">
        <v>3380</v>
      </c>
      <c r="M37">
        <v>0.4</v>
      </c>
    </row>
    <row r="38" spans="1:13">
      <c r="A38" s="3239">
        <v>2</v>
      </c>
      <c r="B38">
        <v>-2</v>
      </c>
      <c r="C38" s="3228" t="s">
        <v>3433</v>
      </c>
      <c r="D38">
        <v>1980</v>
      </c>
      <c r="E38" s="3235">
        <v>3090.5</v>
      </c>
      <c r="L38" s="3237" t="s">
        <v>3381</v>
      </c>
      <c r="M38">
        <v>0.4</v>
      </c>
    </row>
    <row r="39" spans="1:13" ht="27">
      <c r="A39" s="3239">
        <v>10</v>
      </c>
      <c r="B39">
        <v>6</v>
      </c>
      <c r="C39" s="3228" t="s">
        <v>3433</v>
      </c>
      <c r="D39">
        <v>1970</v>
      </c>
      <c r="E39">
        <v>3328.3</v>
      </c>
      <c r="F39">
        <f>E39</f>
        <v>3328.3</v>
      </c>
      <c r="G39">
        <f>M39</f>
        <v>6</v>
      </c>
      <c r="H39">
        <f>G39*F39</f>
        <v>19969.800000000003</v>
      </c>
      <c r="L39" s="3237" t="s">
        <v>3487</v>
      </c>
      <c r="M39">
        <v>6</v>
      </c>
    </row>
    <row r="40" spans="1:13">
      <c r="A40" s="3239">
        <v>10</v>
      </c>
      <c r="B40">
        <v>-1</v>
      </c>
      <c r="C40" s="3228" t="s">
        <v>3433</v>
      </c>
      <c r="D40">
        <v>1970</v>
      </c>
      <c r="E40" s="3249">
        <v>467.3</v>
      </c>
      <c r="F40">
        <f t="shared" ref="F40:F45" si="1">E40</f>
        <v>467.3</v>
      </c>
      <c r="G40">
        <f>M33</f>
        <v>2.5</v>
      </c>
      <c r="H40">
        <f t="shared" ref="H40:H49" si="2">G40*F40</f>
        <v>1168.25</v>
      </c>
      <c r="L40" s="3252"/>
    </row>
    <row r="41" spans="1:13">
      <c r="A41" s="3239">
        <v>11</v>
      </c>
      <c r="B41">
        <v>2</v>
      </c>
      <c r="C41" s="3228" t="s">
        <v>3432</v>
      </c>
      <c r="D41">
        <v>1970</v>
      </c>
      <c r="E41">
        <v>264</v>
      </c>
      <c r="F41">
        <f>E41</f>
        <v>264</v>
      </c>
      <c r="G41">
        <f>G35*0.85</f>
        <v>0</v>
      </c>
      <c r="H41">
        <f t="shared" si="2"/>
        <v>0</v>
      </c>
    </row>
    <row r="42" spans="1:13">
      <c r="A42" s="3239">
        <v>12</v>
      </c>
      <c r="B42">
        <v>7</v>
      </c>
      <c r="C42" s="3228" t="s">
        <v>3433</v>
      </c>
      <c r="D42">
        <v>1970</v>
      </c>
      <c r="E42">
        <v>799.4</v>
      </c>
      <c r="F42">
        <f>E42</f>
        <v>799.4</v>
      </c>
      <c r="G42">
        <f>G39</f>
        <v>6</v>
      </c>
      <c r="H42">
        <f t="shared" si="2"/>
        <v>4796.3999999999996</v>
      </c>
    </row>
    <row r="43" spans="1:13">
      <c r="A43" s="3239">
        <v>13</v>
      </c>
      <c r="B43">
        <v>2</v>
      </c>
      <c r="C43" s="3228" t="s">
        <v>3432</v>
      </c>
      <c r="D43">
        <v>1980</v>
      </c>
      <c r="E43">
        <v>414.2</v>
      </c>
      <c r="F43">
        <f t="shared" si="1"/>
        <v>414.2</v>
      </c>
      <c r="G43">
        <f>G41</f>
        <v>0</v>
      </c>
      <c r="H43">
        <f t="shared" si="2"/>
        <v>0</v>
      </c>
    </row>
    <row r="44" spans="1:13">
      <c r="A44" s="3239">
        <v>13</v>
      </c>
      <c r="B44">
        <v>-1</v>
      </c>
      <c r="C44" s="3228" t="s">
        <v>3432</v>
      </c>
      <c r="D44">
        <v>1980</v>
      </c>
      <c r="E44" s="3249">
        <v>207.1</v>
      </c>
      <c r="F44">
        <f t="shared" si="1"/>
        <v>207.1</v>
      </c>
      <c r="G44">
        <f>G40</f>
        <v>2.5</v>
      </c>
      <c r="H44">
        <f t="shared" si="2"/>
        <v>517.75</v>
      </c>
    </row>
    <row r="45" spans="1:13">
      <c r="A45" s="3239">
        <v>14</v>
      </c>
      <c r="B45">
        <v>5</v>
      </c>
      <c r="C45" s="3228" t="s">
        <v>3432</v>
      </c>
      <c r="D45">
        <v>1970</v>
      </c>
      <c r="E45">
        <v>2189.5</v>
      </c>
      <c r="F45">
        <f t="shared" si="1"/>
        <v>2189.5</v>
      </c>
      <c r="G45">
        <f>M39</f>
        <v>6</v>
      </c>
      <c r="H45">
        <f t="shared" si="2"/>
        <v>13137</v>
      </c>
      <c r="K45" s="3228" t="s">
        <v>3500</v>
      </c>
      <c r="L45" s="3">
        <f>E38/2+3361</f>
        <v>4906.25</v>
      </c>
    </row>
    <row r="46" spans="1:13">
      <c r="A46" s="3239">
        <v>15</v>
      </c>
      <c r="B46">
        <v>3</v>
      </c>
      <c r="C46" s="3228" t="s">
        <v>3433</v>
      </c>
      <c r="D46">
        <v>1970</v>
      </c>
      <c r="E46">
        <v>1928.1</v>
      </c>
      <c r="F46">
        <f>E46</f>
        <v>1928.1</v>
      </c>
      <c r="G46">
        <f>ROUND(G36*0.766,2)</f>
        <v>6.13</v>
      </c>
      <c r="H46">
        <f t="shared" si="2"/>
        <v>11819.252999999999</v>
      </c>
      <c r="K46" s="3228" t="s">
        <v>3501</v>
      </c>
      <c r="L46" s="3">
        <f>L45</f>
        <v>4906.25</v>
      </c>
    </row>
    <row r="47" spans="1:13">
      <c r="A47" s="3239">
        <v>15</v>
      </c>
      <c r="B47">
        <v>-1</v>
      </c>
      <c r="C47" s="3228" t="s">
        <v>3432</v>
      </c>
      <c r="D47">
        <v>1970</v>
      </c>
      <c r="E47" s="3249">
        <v>642.70000000000005</v>
      </c>
      <c r="F47">
        <f>E47</f>
        <v>642.70000000000005</v>
      </c>
      <c r="G47">
        <f>G40</f>
        <v>2.5</v>
      </c>
      <c r="H47">
        <f t="shared" si="2"/>
        <v>1606.75</v>
      </c>
      <c r="K47" s="3228" t="s">
        <v>3502</v>
      </c>
      <c r="L47" s="3">
        <v>3361</v>
      </c>
    </row>
    <row r="48" spans="1:13">
      <c r="A48" s="3239">
        <v>17</v>
      </c>
      <c r="B48">
        <v>2</v>
      </c>
      <c r="C48" s="3228" t="s">
        <v>3432</v>
      </c>
      <c r="D48">
        <v>1970</v>
      </c>
      <c r="E48">
        <v>604.6</v>
      </c>
      <c r="F48">
        <f>E48</f>
        <v>604.6</v>
      </c>
      <c r="G48">
        <f>G41</f>
        <v>0</v>
      </c>
      <c r="H48">
        <f t="shared" si="2"/>
        <v>0</v>
      </c>
      <c r="L48" s="3">
        <f>SUM(L45:L47)</f>
        <v>13173.5</v>
      </c>
    </row>
    <row r="49" spans="1:12">
      <c r="A49" s="3239">
        <v>18</v>
      </c>
      <c r="B49">
        <v>2</v>
      </c>
      <c r="C49" s="3228" t="s">
        <v>3432</v>
      </c>
      <c r="D49">
        <v>1980</v>
      </c>
      <c r="E49">
        <v>178.6</v>
      </c>
      <c r="F49">
        <f>E49</f>
        <v>178.6</v>
      </c>
      <c r="G49" s="3228">
        <f>G41</f>
        <v>0</v>
      </c>
      <c r="H49">
        <f t="shared" si="2"/>
        <v>0</v>
      </c>
    </row>
    <row r="50" spans="1:12">
      <c r="A50" s="3239">
        <v>32</v>
      </c>
      <c r="B50">
        <v>8</v>
      </c>
      <c r="C50" s="3228" t="s">
        <v>3432</v>
      </c>
      <c r="D50">
        <v>1998</v>
      </c>
      <c r="E50">
        <v>31053</v>
      </c>
    </row>
    <row r="51" spans="1:12">
      <c r="A51" s="3239">
        <v>32</v>
      </c>
      <c r="B51">
        <v>-3</v>
      </c>
      <c r="C51" s="3228" t="s">
        <v>3432</v>
      </c>
      <c r="D51">
        <v>1998</v>
      </c>
      <c r="E51" s="3235">
        <v>10083</v>
      </c>
      <c r="J51">
        <f>E37+E38+E50+E51+E34</f>
        <v>58300.299999999996</v>
      </c>
    </row>
    <row r="52" spans="1:12">
      <c r="A52" s="3239"/>
      <c r="E52">
        <f>SUM(E34:E51)</f>
        <v>69678.799999999988</v>
      </c>
      <c r="F52">
        <f>SUM(F34:F51)</f>
        <v>11252.100000000002</v>
      </c>
      <c r="H52" s="3235">
        <f>ROUND(SUM(H34:H51)/F52,2)</f>
        <v>4.87</v>
      </c>
    </row>
    <row r="54" spans="1:12" s="3235" customFormat="1">
      <c r="A54" s="3236" t="s">
        <v>3420</v>
      </c>
      <c r="B54" s="3236" t="s">
        <v>3476</v>
      </c>
      <c r="L54" s="3252"/>
    </row>
    <row r="55" spans="1:12">
      <c r="A55" s="3228" t="s">
        <v>3434</v>
      </c>
      <c r="B55" s="3228" t="s">
        <v>3400</v>
      </c>
    </row>
    <row r="56" spans="1:12">
      <c r="A56" s="3228" t="s">
        <v>3401</v>
      </c>
      <c r="B56" s="3228" t="s">
        <v>3435</v>
      </c>
    </row>
    <row r="57" spans="1:12">
      <c r="A57" s="3228" t="s">
        <v>3402</v>
      </c>
      <c r="B57" s="3228" t="s">
        <v>3436</v>
      </c>
      <c r="D57" s="3228" t="s">
        <v>3404</v>
      </c>
      <c r="E57">
        <v>75031.600000000006</v>
      </c>
      <c r="F57">
        <f>E57-E5</f>
        <v>205.30000000000291</v>
      </c>
      <c r="J57">
        <v>14003.7</v>
      </c>
    </row>
    <row r="58" spans="1:12">
      <c r="A58" s="3228" t="s">
        <v>3437</v>
      </c>
      <c r="B58" s="3238">
        <v>56423</v>
      </c>
      <c r="D58" s="3228" t="s">
        <v>3407</v>
      </c>
      <c r="E58">
        <v>4.46</v>
      </c>
      <c r="J58">
        <v>3090.5</v>
      </c>
    </row>
    <row r="59" spans="1:12">
      <c r="A59" s="3228" t="s">
        <v>3438</v>
      </c>
      <c r="B59">
        <v>12916.27</v>
      </c>
      <c r="D59" s="3228" t="s">
        <v>3410</v>
      </c>
      <c r="E59">
        <v>0.56000000000000005</v>
      </c>
      <c r="J59">
        <v>31053</v>
      </c>
    </row>
    <row r="60" spans="1:12">
      <c r="A60" s="3228" t="s">
        <v>3407</v>
      </c>
      <c r="B60">
        <v>4.46</v>
      </c>
      <c r="J60">
        <v>10083</v>
      </c>
    </row>
    <row r="61" spans="1:12">
      <c r="J61">
        <f>SUM(J57:J60)</f>
        <v>58230.2</v>
      </c>
    </row>
    <row r="63" spans="1:12" s="3242" customFormat="1" ht="27">
      <c r="A63" s="3240" t="s">
        <v>3439</v>
      </c>
      <c r="B63" s="3241" t="s">
        <v>3440</v>
      </c>
      <c r="C63" s="3242">
        <v>2014</v>
      </c>
      <c r="L63" s="3254"/>
    </row>
    <row r="64" spans="1:12" s="3230" customFormat="1">
      <c r="L64" s="3255"/>
    </row>
    <row r="65" spans="2:12" s="3230" customFormat="1">
      <c r="B65" s="3229" t="s">
        <v>3441</v>
      </c>
      <c r="C65" s="3229" t="s">
        <v>3417</v>
      </c>
      <c r="L65" s="3255"/>
    </row>
    <row r="66" spans="2:12" s="3230" customFormat="1">
      <c r="B66" s="3230">
        <v>3000</v>
      </c>
      <c r="C66" s="3230">
        <v>54583.6</v>
      </c>
      <c r="D66" s="3230">
        <f>C66*B66</f>
        <v>163750800</v>
      </c>
      <c r="L66" s="3255"/>
    </row>
    <row r="67" spans="2:12" s="3230" customFormat="1">
      <c r="B67" s="3230">
        <v>1000</v>
      </c>
      <c r="C67" s="3230">
        <v>15095.2</v>
      </c>
      <c r="D67" s="3230">
        <f>C67*B67</f>
        <v>15095200</v>
      </c>
      <c r="L67" s="3255"/>
    </row>
    <row r="68" spans="2:12" s="3230" customFormat="1">
      <c r="C68" s="3230">
        <f>SUM(C66:C67)</f>
        <v>69678.8</v>
      </c>
      <c r="D68" s="3230">
        <f>SUM(D66:D67)</f>
        <v>178846000</v>
      </c>
      <c r="L68" s="3255"/>
    </row>
  </sheetData>
  <mergeCells count="2">
    <mergeCell ref="H2:L5"/>
    <mergeCell ref="N2:T10"/>
  </mergeCells>
  <phoneticPr fontId="141"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29" t="s">
        <v>3166</v>
      </c>
      <c r="B2" s="3229" t="s">
        <v>3167</v>
      </c>
      <c r="E2" s="3228" t="s">
        <v>3287</v>
      </c>
      <c r="F2">
        <v>9053.36</v>
      </c>
    </row>
    <row r="3" spans="1:9">
      <c r="A3" s="3229" t="s">
        <v>3165</v>
      </c>
      <c r="B3" s="3229" t="s">
        <v>3168</v>
      </c>
      <c r="E3" s="3228" t="s">
        <v>3285</v>
      </c>
      <c r="F3">
        <v>44555.7</v>
      </c>
      <c r="G3" s="3228" t="s">
        <v>3286</v>
      </c>
      <c r="H3">
        <v>1343.84</v>
      </c>
    </row>
    <row r="4" spans="1:9">
      <c r="A4" s="3229" t="s">
        <v>3169</v>
      </c>
      <c r="B4" s="3229" t="s">
        <v>3176</v>
      </c>
    </row>
    <row r="5" spans="1:9">
      <c r="A5" s="3229" t="s">
        <v>3171</v>
      </c>
      <c r="B5" s="3230">
        <v>4666.17</v>
      </c>
    </row>
    <row r="6" spans="1:9">
      <c r="A6" s="3229" t="s">
        <v>3172</v>
      </c>
      <c r="B6" s="3229" t="s">
        <v>3173</v>
      </c>
      <c r="E6" s="3228" t="s">
        <v>3219</v>
      </c>
      <c r="F6">
        <v>948.15</v>
      </c>
    </row>
    <row r="7" spans="1:9">
      <c r="A7" s="3229" t="s">
        <v>3174</v>
      </c>
      <c r="B7" s="3229" t="s">
        <v>3175</v>
      </c>
      <c r="C7" s="3228" t="s">
        <v>3178</v>
      </c>
      <c r="E7" s="3228" t="s">
        <v>3218</v>
      </c>
      <c r="F7" s="3228">
        <v>4.92</v>
      </c>
    </row>
    <row r="8" spans="1:9">
      <c r="A8">
        <v>1</v>
      </c>
      <c r="B8" s="3229" t="s">
        <v>3177</v>
      </c>
      <c r="C8">
        <v>30.5</v>
      </c>
      <c r="D8" s="3231" t="s">
        <v>3217</v>
      </c>
      <c r="F8" s="3228" t="s">
        <v>3223</v>
      </c>
      <c r="H8" s="3228" t="s">
        <v>3283</v>
      </c>
      <c r="I8">
        <v>26000</v>
      </c>
    </row>
    <row r="9" spans="1:9">
      <c r="A9">
        <v>2</v>
      </c>
      <c r="B9" s="3229" t="s">
        <v>3179</v>
      </c>
      <c r="C9">
        <v>22.2</v>
      </c>
      <c r="D9" s="3231" t="s">
        <v>3217</v>
      </c>
      <c r="E9" s="3228" t="s">
        <v>3222</v>
      </c>
      <c r="F9">
        <f>SUM(C8:C25)</f>
        <v>835.92</v>
      </c>
      <c r="H9" s="3228" t="s">
        <v>3284</v>
      </c>
      <c r="I9">
        <v>15569.89</v>
      </c>
    </row>
    <row r="10" spans="1:9">
      <c r="A10">
        <v>3</v>
      </c>
      <c r="B10" s="3229" t="s">
        <v>3180</v>
      </c>
      <c r="C10">
        <v>55.79</v>
      </c>
      <c r="D10" s="3231" t="s">
        <v>3217</v>
      </c>
      <c r="E10" s="3228" t="s">
        <v>3220</v>
      </c>
      <c r="F10">
        <f>SUM(C26:C43)</f>
        <v>2518.44</v>
      </c>
      <c r="H10" s="3228" t="s">
        <v>3288</v>
      </c>
      <c r="I10">
        <f>SUM(I8:I9)</f>
        <v>41569.89</v>
      </c>
    </row>
    <row r="11" spans="1:9">
      <c r="A11">
        <v>4</v>
      </c>
      <c r="B11" s="3229" t="s">
        <v>3181</v>
      </c>
      <c r="C11">
        <v>55.79</v>
      </c>
      <c r="D11" s="3231" t="s">
        <v>3217</v>
      </c>
      <c r="E11" s="3228" t="s">
        <v>3221</v>
      </c>
      <c r="F11">
        <f>SUM(C44:C48)</f>
        <v>1311.81</v>
      </c>
      <c r="I11" s="3228"/>
    </row>
    <row r="12" spans="1:9">
      <c r="A12">
        <v>5</v>
      </c>
      <c r="B12" s="3229" t="s">
        <v>3182</v>
      </c>
      <c r="C12">
        <v>55.79</v>
      </c>
      <c r="D12" s="3231" t="s">
        <v>3217</v>
      </c>
      <c r="F12">
        <f>SUM(F9:F11)</f>
        <v>4666.17</v>
      </c>
      <c r="H12" s="3228" t="s">
        <v>3290</v>
      </c>
      <c r="I12">
        <v>23567.56</v>
      </c>
    </row>
    <row r="13" spans="1:9">
      <c r="A13">
        <v>6</v>
      </c>
      <c r="B13" s="3229" t="s">
        <v>3183</v>
      </c>
      <c r="C13">
        <v>26.7</v>
      </c>
      <c r="D13" s="3231" t="s">
        <v>3217</v>
      </c>
      <c r="H13" s="3228" t="s">
        <v>3291</v>
      </c>
      <c r="I13">
        <v>18917.310000000001</v>
      </c>
    </row>
    <row r="14" spans="1:9">
      <c r="A14">
        <v>7</v>
      </c>
      <c r="B14" s="3229" t="s">
        <v>3184</v>
      </c>
      <c r="C14">
        <v>52.7</v>
      </c>
      <c r="D14" s="3231" t="s">
        <v>3217</v>
      </c>
      <c r="H14" s="3228" t="s">
        <v>3289</v>
      </c>
      <c r="I14">
        <f>SUM(I12:I13)</f>
        <v>42484.87</v>
      </c>
    </row>
    <row r="15" spans="1:9">
      <c r="A15">
        <v>8</v>
      </c>
      <c r="B15" s="3229" t="s">
        <v>3185</v>
      </c>
      <c r="C15">
        <v>52.7</v>
      </c>
      <c r="D15" s="3231" t="s">
        <v>3217</v>
      </c>
    </row>
    <row r="16" spans="1:9">
      <c r="A16">
        <v>9</v>
      </c>
      <c r="B16" s="3229" t="s">
        <v>3186</v>
      </c>
      <c r="C16">
        <v>52.7</v>
      </c>
      <c r="D16" s="3231" t="s">
        <v>3217</v>
      </c>
      <c r="H16" s="3228" t="s">
        <v>3292</v>
      </c>
      <c r="I16">
        <f>I14+H3</f>
        <v>43828.71</v>
      </c>
    </row>
    <row r="17" spans="1:6">
      <c r="A17">
        <v>10</v>
      </c>
      <c r="B17" s="3229" t="s">
        <v>3187</v>
      </c>
      <c r="C17">
        <v>52.7</v>
      </c>
      <c r="D17" s="3231" t="s">
        <v>3217</v>
      </c>
    </row>
    <row r="18" spans="1:6">
      <c r="A18">
        <v>11</v>
      </c>
      <c r="B18" s="3229" t="s">
        <v>3188</v>
      </c>
      <c r="C18">
        <v>56.82</v>
      </c>
      <c r="D18" s="3231" t="s">
        <v>3217</v>
      </c>
    </row>
    <row r="19" spans="1:6">
      <c r="A19">
        <v>12</v>
      </c>
      <c r="B19" s="3229" t="s">
        <v>3189</v>
      </c>
      <c r="C19">
        <v>43.16</v>
      </c>
      <c r="D19" s="3231" t="s">
        <v>3217</v>
      </c>
    </row>
    <row r="20" spans="1:6">
      <c r="A20">
        <v>13</v>
      </c>
      <c r="B20" s="3229" t="s">
        <v>3190</v>
      </c>
      <c r="C20">
        <v>102.5</v>
      </c>
      <c r="D20" s="3231" t="s">
        <v>3217</v>
      </c>
      <c r="F20">
        <f>F9+F58+F59</f>
        <v>16833.809999999998</v>
      </c>
    </row>
    <row r="21" spans="1:6">
      <c r="A21">
        <v>14</v>
      </c>
      <c r="B21" s="3229" t="s">
        <v>3191</v>
      </c>
      <c r="C21">
        <v>43</v>
      </c>
      <c r="D21" s="3231" t="s">
        <v>3217</v>
      </c>
      <c r="F21">
        <f>F10+F11+SUM(F60:F64)</f>
        <v>24763.08</v>
      </c>
    </row>
    <row r="22" spans="1:6">
      <c r="A22">
        <v>15</v>
      </c>
      <c r="B22" s="3229" t="s">
        <v>3192</v>
      </c>
      <c r="C22">
        <v>43</v>
      </c>
      <c r="D22" s="3231" t="s">
        <v>3217</v>
      </c>
      <c r="F22">
        <f>SUM(F20:F21)</f>
        <v>41596.89</v>
      </c>
    </row>
    <row r="23" spans="1:6">
      <c r="A23">
        <v>16</v>
      </c>
      <c r="B23" s="3229" t="s">
        <v>3193</v>
      </c>
      <c r="C23">
        <v>30.72</v>
      </c>
      <c r="D23" s="3231" t="s">
        <v>3217</v>
      </c>
    </row>
    <row r="24" spans="1:6">
      <c r="A24">
        <v>17</v>
      </c>
      <c r="B24" s="3229" t="s">
        <v>3194</v>
      </c>
      <c r="C24">
        <v>24.13</v>
      </c>
      <c r="D24" s="3231" t="s">
        <v>3217</v>
      </c>
    </row>
    <row r="25" spans="1:6">
      <c r="A25">
        <v>18</v>
      </c>
      <c r="B25" s="3229" t="s">
        <v>3195</v>
      </c>
      <c r="C25">
        <v>35.020000000000003</v>
      </c>
      <c r="D25" s="3231" t="s">
        <v>3217</v>
      </c>
    </row>
    <row r="26" spans="1:6">
      <c r="A26">
        <v>19</v>
      </c>
      <c r="B26" s="3233" t="s">
        <v>3279</v>
      </c>
      <c r="C26">
        <v>120.81</v>
      </c>
      <c r="D26" s="3231" t="s">
        <v>3282</v>
      </c>
    </row>
    <row r="27" spans="1:6">
      <c r="A27">
        <v>20</v>
      </c>
      <c r="B27" s="3233" t="s">
        <v>3280</v>
      </c>
      <c r="C27">
        <v>21.16</v>
      </c>
      <c r="D27" s="3231" t="s">
        <v>3282</v>
      </c>
    </row>
    <row r="28" spans="1:6">
      <c r="A28">
        <v>21</v>
      </c>
      <c r="B28" s="3233" t="s">
        <v>3281</v>
      </c>
      <c r="C28">
        <v>242.97</v>
      </c>
      <c r="D28" s="3231" t="s">
        <v>3282</v>
      </c>
    </row>
    <row r="29" spans="1:6">
      <c r="A29">
        <v>22</v>
      </c>
      <c r="B29" s="3229" t="s">
        <v>3196</v>
      </c>
      <c r="C29">
        <v>315.02</v>
      </c>
      <c r="D29" s="3231" t="s">
        <v>3220</v>
      </c>
    </row>
    <row r="30" spans="1:6">
      <c r="A30">
        <v>23</v>
      </c>
      <c r="B30" s="3229" t="s">
        <v>3197</v>
      </c>
      <c r="C30">
        <v>34.74</v>
      </c>
      <c r="D30" s="3231" t="s">
        <v>3220</v>
      </c>
    </row>
    <row r="31" spans="1:6">
      <c r="A31">
        <v>24</v>
      </c>
      <c r="B31" s="3229" t="s">
        <v>3198</v>
      </c>
      <c r="C31">
        <v>82.16</v>
      </c>
      <c r="D31" s="3231" t="s">
        <v>3220</v>
      </c>
    </row>
    <row r="32" spans="1:6">
      <c r="A32">
        <v>25</v>
      </c>
      <c r="B32" s="3229" t="s">
        <v>3199</v>
      </c>
      <c r="C32">
        <v>43.32</v>
      </c>
      <c r="D32" s="3231" t="s">
        <v>3220</v>
      </c>
    </row>
    <row r="33" spans="1:4">
      <c r="A33">
        <v>26</v>
      </c>
      <c r="B33" s="3229" t="s">
        <v>3200</v>
      </c>
      <c r="C33">
        <v>75.81</v>
      </c>
      <c r="D33" s="3231" t="s">
        <v>3220</v>
      </c>
    </row>
    <row r="34" spans="1:4">
      <c r="A34">
        <v>27</v>
      </c>
      <c r="B34" s="3229" t="s">
        <v>3201</v>
      </c>
      <c r="C34">
        <v>14.51</v>
      </c>
      <c r="D34" s="3231" t="s">
        <v>3220</v>
      </c>
    </row>
    <row r="35" spans="1:4">
      <c r="A35">
        <v>28</v>
      </c>
      <c r="B35" s="3229" t="s">
        <v>3202</v>
      </c>
      <c r="C35">
        <v>72.17</v>
      </c>
      <c r="D35" s="3231" t="s">
        <v>3220</v>
      </c>
    </row>
    <row r="36" spans="1:4">
      <c r="A36">
        <v>29</v>
      </c>
      <c r="B36" s="3229" t="s">
        <v>3203</v>
      </c>
      <c r="C36">
        <v>49.33</v>
      </c>
      <c r="D36" s="3231" t="s">
        <v>3220</v>
      </c>
    </row>
    <row r="37" spans="1:4">
      <c r="A37">
        <v>30</v>
      </c>
      <c r="B37" s="3229" t="s">
        <v>3204</v>
      </c>
      <c r="C37">
        <v>134.93</v>
      </c>
      <c r="D37" s="3231" t="s">
        <v>3220</v>
      </c>
    </row>
    <row r="38" spans="1:4">
      <c r="A38">
        <v>31</v>
      </c>
      <c r="B38" s="3229" t="s">
        <v>3205</v>
      </c>
      <c r="C38">
        <v>25.87</v>
      </c>
      <c r="D38" s="3231" t="s">
        <v>3220</v>
      </c>
    </row>
    <row r="39" spans="1:4">
      <c r="A39">
        <v>32</v>
      </c>
      <c r="B39" s="3229" t="s">
        <v>3206</v>
      </c>
      <c r="C39">
        <v>45.41</v>
      </c>
      <c r="D39" s="3231" t="s">
        <v>3220</v>
      </c>
    </row>
    <row r="40" spans="1:4">
      <c r="A40">
        <v>33</v>
      </c>
      <c r="B40" s="3229" t="s">
        <v>3207</v>
      </c>
      <c r="C40">
        <v>85.28</v>
      </c>
      <c r="D40" s="3231" t="s">
        <v>3220</v>
      </c>
    </row>
    <row r="41" spans="1:4">
      <c r="A41">
        <v>34</v>
      </c>
      <c r="B41" s="3229" t="s">
        <v>3208</v>
      </c>
      <c r="C41">
        <v>849.87</v>
      </c>
      <c r="D41" s="3231" t="s">
        <v>3220</v>
      </c>
    </row>
    <row r="42" spans="1:4">
      <c r="A42">
        <v>35</v>
      </c>
      <c r="B42" s="3229" t="s">
        <v>3209</v>
      </c>
      <c r="C42">
        <v>278.7</v>
      </c>
      <c r="D42" s="3231" t="s">
        <v>3220</v>
      </c>
    </row>
    <row r="43" spans="1:4">
      <c r="A43">
        <v>36</v>
      </c>
      <c r="B43" s="3229" t="s">
        <v>3210</v>
      </c>
      <c r="C43">
        <v>26.38</v>
      </c>
      <c r="D43" s="3231" t="s">
        <v>3220</v>
      </c>
    </row>
    <row r="44" spans="1:4">
      <c r="A44">
        <v>37</v>
      </c>
      <c r="B44" s="3229" t="s">
        <v>3211</v>
      </c>
      <c r="C44">
        <v>84.83</v>
      </c>
      <c r="D44" s="3231" t="s">
        <v>3221</v>
      </c>
    </row>
    <row r="45" spans="1:4">
      <c r="A45">
        <v>38</v>
      </c>
      <c r="B45" s="3229" t="s">
        <v>3212</v>
      </c>
      <c r="C45">
        <v>84.99</v>
      </c>
      <c r="D45" s="3231" t="s">
        <v>3221</v>
      </c>
    </row>
    <row r="46" spans="1:4">
      <c r="A46">
        <v>39</v>
      </c>
      <c r="B46" s="3229" t="s">
        <v>3213</v>
      </c>
      <c r="C46">
        <v>113.11</v>
      </c>
      <c r="D46" s="3231" t="s">
        <v>3221</v>
      </c>
    </row>
    <row r="47" spans="1:4">
      <c r="A47">
        <v>40</v>
      </c>
      <c r="B47" s="3229" t="s">
        <v>3214</v>
      </c>
      <c r="C47">
        <v>781.11</v>
      </c>
      <c r="D47" s="3231" t="s">
        <v>3221</v>
      </c>
    </row>
    <row r="48" spans="1:4">
      <c r="A48">
        <v>41</v>
      </c>
      <c r="B48" s="3229" t="s">
        <v>3215</v>
      </c>
      <c r="C48">
        <v>247.77</v>
      </c>
      <c r="D48" s="3231" t="s">
        <v>3221</v>
      </c>
    </row>
    <row r="49" spans="1:6">
      <c r="B49" s="3229" t="s">
        <v>3216</v>
      </c>
      <c r="C49">
        <f>SUM(C8:C48)</f>
        <v>4666.17</v>
      </c>
    </row>
    <row r="51" spans="1:6">
      <c r="A51" s="3228" t="s">
        <v>3166</v>
      </c>
      <c r="B51" s="3229" t="s">
        <v>3224</v>
      </c>
    </row>
    <row r="52" spans="1:6">
      <c r="A52" s="3228" t="s">
        <v>3225</v>
      </c>
      <c r="B52" s="3229" t="s">
        <v>3168</v>
      </c>
    </row>
    <row r="53" spans="1:6">
      <c r="A53" s="3228" t="s">
        <v>3226</v>
      </c>
      <c r="B53" s="3229" t="s">
        <v>3170</v>
      </c>
    </row>
    <row r="54" spans="1:6">
      <c r="A54" s="3228" t="s">
        <v>3227</v>
      </c>
      <c r="B54" s="3232">
        <v>41816</v>
      </c>
    </row>
    <row r="55" spans="1:6">
      <c r="A55" s="3228" t="s">
        <v>3228</v>
      </c>
      <c r="B55">
        <v>36930.720000000001</v>
      </c>
    </row>
    <row r="57" spans="1:6">
      <c r="A57" s="3228" t="s">
        <v>3229</v>
      </c>
      <c r="B57" s="3228" t="s">
        <v>3230</v>
      </c>
      <c r="C57" s="3228" t="s">
        <v>3232</v>
      </c>
      <c r="F57" s="3228" t="s">
        <v>3223</v>
      </c>
    </row>
    <row r="58" spans="1:6">
      <c r="A58">
        <v>1</v>
      </c>
      <c r="B58" s="3231" t="s">
        <v>3231</v>
      </c>
      <c r="C58">
        <v>2887.16</v>
      </c>
      <c r="E58" s="3228" t="s">
        <v>3378</v>
      </c>
      <c r="F58">
        <f>SUM(C58:C76)</f>
        <v>8248.3599999999988</v>
      </c>
    </row>
    <row r="59" spans="1:6">
      <c r="A59">
        <v>2</v>
      </c>
      <c r="B59" s="3231" t="s">
        <v>3233</v>
      </c>
      <c r="C59">
        <v>238.6</v>
      </c>
      <c r="E59" s="3228" t="s">
        <v>3222</v>
      </c>
      <c r="F59">
        <f>SUM(C77:C148)</f>
        <v>7749.5299999999979</v>
      </c>
    </row>
    <row r="60" spans="1:6">
      <c r="A60">
        <v>3</v>
      </c>
      <c r="B60" s="3231" t="s">
        <v>3234</v>
      </c>
      <c r="C60">
        <v>188.69</v>
      </c>
      <c r="E60" s="3228" t="s">
        <v>3220</v>
      </c>
      <c r="F60">
        <f>SUM(C149:C170)</f>
        <v>2579.0300000000002</v>
      </c>
    </row>
    <row r="61" spans="1:6">
      <c r="A61">
        <v>4</v>
      </c>
      <c r="B61" s="3231" t="s">
        <v>3235</v>
      </c>
      <c r="C61">
        <v>117.08</v>
      </c>
      <c r="E61" s="3228" t="s">
        <v>3221</v>
      </c>
      <c r="F61">
        <f>SUM(C171:C178)</f>
        <v>6051.12</v>
      </c>
    </row>
    <row r="62" spans="1:6">
      <c r="A62">
        <v>5</v>
      </c>
      <c r="B62" s="3231" t="s">
        <v>3236</v>
      </c>
      <c r="C62">
        <v>117.08</v>
      </c>
      <c r="E62" s="3228" t="s">
        <v>3379</v>
      </c>
      <c r="F62">
        <f>SUM(C179:C181)</f>
        <v>7053.1200000000008</v>
      </c>
    </row>
    <row r="63" spans="1:6">
      <c r="A63">
        <v>6</v>
      </c>
      <c r="B63" s="3231" t="s">
        <v>3237</v>
      </c>
      <c r="C63">
        <v>188.69</v>
      </c>
      <c r="E63" s="3228" t="s">
        <v>3380</v>
      </c>
      <c r="F63">
        <f>SUM(C182:C186)+C188</f>
        <v>3863.73</v>
      </c>
    </row>
    <row r="64" spans="1:6">
      <c r="A64">
        <v>7</v>
      </c>
      <c r="B64" s="3231" t="s">
        <v>3238</v>
      </c>
      <c r="C64">
        <v>238.6</v>
      </c>
      <c r="E64" s="3228" t="s">
        <v>3381</v>
      </c>
      <c r="F64">
        <f>SUM(C187+C189)</f>
        <v>1385.83</v>
      </c>
    </row>
    <row r="65" spans="1:6">
      <c r="A65">
        <v>8</v>
      </c>
      <c r="B65" s="3231" t="s">
        <v>3239</v>
      </c>
      <c r="C65">
        <v>175.07</v>
      </c>
      <c r="F65">
        <f>SUM(F58:F64)</f>
        <v>36930.720000000001</v>
      </c>
    </row>
    <row r="66" spans="1:6">
      <c r="A66">
        <v>9</v>
      </c>
      <c r="B66" s="3231" t="s">
        <v>3240</v>
      </c>
      <c r="C66">
        <v>236.44</v>
      </c>
    </row>
    <row r="67" spans="1:6">
      <c r="A67">
        <v>10</v>
      </c>
      <c r="B67" s="3231" t="s">
        <v>3241</v>
      </c>
      <c r="C67">
        <v>158.66</v>
      </c>
    </row>
    <row r="68" spans="1:6">
      <c r="A68">
        <v>11</v>
      </c>
      <c r="B68" s="3231" t="s">
        <v>3242</v>
      </c>
      <c r="C68">
        <v>241.12</v>
      </c>
    </row>
    <row r="69" spans="1:6">
      <c r="A69">
        <v>12</v>
      </c>
      <c r="B69" s="3231" t="s">
        <v>3243</v>
      </c>
      <c r="C69">
        <v>220.42</v>
      </c>
    </row>
    <row r="70" spans="1:6">
      <c r="A70">
        <v>13</v>
      </c>
      <c r="B70" s="3231" t="s">
        <v>3244</v>
      </c>
      <c r="C70">
        <v>292.7</v>
      </c>
    </row>
    <row r="71" spans="1:6">
      <c r="A71">
        <v>14</v>
      </c>
      <c r="B71" s="3231" t="s">
        <v>3245</v>
      </c>
      <c r="C71">
        <v>102.47</v>
      </c>
    </row>
    <row r="72" spans="1:6">
      <c r="A72">
        <v>15</v>
      </c>
      <c r="B72" s="3231" t="s">
        <v>3246</v>
      </c>
      <c r="C72">
        <v>164.26</v>
      </c>
    </row>
    <row r="73" spans="1:6">
      <c r="A73">
        <v>16</v>
      </c>
      <c r="B73" s="3231" t="s">
        <v>3247</v>
      </c>
      <c r="C73">
        <v>2437.1</v>
      </c>
    </row>
    <row r="74" spans="1:6">
      <c r="A74">
        <v>17</v>
      </c>
      <c r="B74" s="3231" t="s">
        <v>3248</v>
      </c>
      <c r="C74">
        <v>23.26</v>
      </c>
    </row>
    <row r="75" spans="1:6">
      <c r="A75">
        <v>18</v>
      </c>
      <c r="B75" s="3231" t="s">
        <v>3249</v>
      </c>
      <c r="C75">
        <v>17.579999999999998</v>
      </c>
    </row>
    <row r="76" spans="1:6">
      <c r="A76">
        <v>19</v>
      </c>
      <c r="B76" s="3231" t="s">
        <v>3250</v>
      </c>
      <c r="C76">
        <v>203.38</v>
      </c>
    </row>
    <row r="77" spans="1:6">
      <c r="A77">
        <v>20</v>
      </c>
      <c r="B77" s="3231" t="s">
        <v>3251</v>
      </c>
      <c r="C77">
        <v>2679.94</v>
      </c>
    </row>
    <row r="78" spans="1:6">
      <c r="A78">
        <v>21</v>
      </c>
      <c r="B78" s="3231" t="s">
        <v>3252</v>
      </c>
      <c r="C78">
        <v>1375.49</v>
      </c>
    </row>
    <row r="79" spans="1:6">
      <c r="A79">
        <v>22</v>
      </c>
      <c r="B79" s="3231" t="s">
        <v>3253</v>
      </c>
      <c r="C79">
        <v>73.03</v>
      </c>
    </row>
    <row r="80" spans="1:6">
      <c r="A80">
        <v>23</v>
      </c>
      <c r="B80" s="3231" t="s">
        <v>3254</v>
      </c>
      <c r="C80">
        <v>7.25</v>
      </c>
    </row>
    <row r="81" spans="1:3">
      <c r="A81">
        <v>24</v>
      </c>
      <c r="B81" s="3231" t="s">
        <v>3255</v>
      </c>
      <c r="C81">
        <v>67.84</v>
      </c>
    </row>
    <row r="82" spans="1:3">
      <c r="A82">
        <v>25</v>
      </c>
      <c r="B82" s="3231" t="s">
        <v>3256</v>
      </c>
      <c r="C82">
        <v>88.95</v>
      </c>
    </row>
    <row r="83" spans="1:3">
      <c r="A83">
        <v>26</v>
      </c>
      <c r="B83" s="3231" t="s">
        <v>3257</v>
      </c>
      <c r="C83">
        <v>18.149999999999999</v>
      </c>
    </row>
    <row r="84" spans="1:3">
      <c r="A84">
        <v>27</v>
      </c>
      <c r="B84" s="3231" t="s">
        <v>3258</v>
      </c>
      <c r="C84">
        <v>17.690000000000001</v>
      </c>
    </row>
    <row r="85" spans="1:3">
      <c r="A85">
        <v>28</v>
      </c>
      <c r="B85" s="3231" t="s">
        <v>3259</v>
      </c>
      <c r="C85">
        <v>17.690000000000001</v>
      </c>
    </row>
    <row r="86" spans="1:3">
      <c r="A86">
        <v>29</v>
      </c>
      <c r="B86" s="3231" t="s">
        <v>3260</v>
      </c>
      <c r="C86">
        <v>18.149999999999999</v>
      </c>
    </row>
    <row r="87" spans="1:3">
      <c r="A87">
        <v>30</v>
      </c>
      <c r="B87" s="3231" t="s">
        <v>3261</v>
      </c>
      <c r="C87">
        <v>16.66</v>
      </c>
    </row>
    <row r="88" spans="1:3">
      <c r="A88">
        <v>31</v>
      </c>
      <c r="B88" s="3231" t="s">
        <v>3262</v>
      </c>
      <c r="C88">
        <v>17.22</v>
      </c>
    </row>
    <row r="89" spans="1:3">
      <c r="A89">
        <v>32</v>
      </c>
      <c r="B89" s="3231" t="s">
        <v>3263</v>
      </c>
      <c r="C89">
        <v>17.87</v>
      </c>
    </row>
    <row r="90" spans="1:3">
      <c r="A90">
        <v>33</v>
      </c>
      <c r="B90" s="3231" t="s">
        <v>3264</v>
      </c>
      <c r="C90">
        <v>17.399999999999999</v>
      </c>
    </row>
    <row r="91" spans="1:3">
      <c r="A91">
        <v>34</v>
      </c>
      <c r="B91" s="3231" t="s">
        <v>3265</v>
      </c>
      <c r="C91">
        <v>17.87</v>
      </c>
    </row>
    <row r="92" spans="1:3">
      <c r="A92">
        <v>35</v>
      </c>
      <c r="B92" s="3231" t="s">
        <v>3266</v>
      </c>
      <c r="C92">
        <v>17.399999999999999</v>
      </c>
    </row>
    <row r="93" spans="1:3">
      <c r="A93">
        <v>36</v>
      </c>
      <c r="B93" s="3231" t="s">
        <v>3267</v>
      </c>
      <c r="C93">
        <v>12.98</v>
      </c>
    </row>
    <row r="94" spans="1:3">
      <c r="A94">
        <v>37</v>
      </c>
      <c r="B94" s="3231" t="s">
        <v>3268</v>
      </c>
      <c r="C94">
        <v>10.9</v>
      </c>
    </row>
    <row r="95" spans="1:3">
      <c r="A95">
        <v>38</v>
      </c>
      <c r="B95" s="3231" t="s">
        <v>3269</v>
      </c>
      <c r="C95">
        <v>75.180000000000007</v>
      </c>
    </row>
    <row r="96" spans="1:3">
      <c r="A96">
        <v>39</v>
      </c>
      <c r="B96" s="3231" t="s">
        <v>3270</v>
      </c>
      <c r="C96">
        <v>71.66</v>
      </c>
    </row>
    <row r="97" spans="1:3">
      <c r="A97">
        <v>40</v>
      </c>
      <c r="B97" s="3231" t="s">
        <v>3271</v>
      </c>
      <c r="C97">
        <v>52.7</v>
      </c>
    </row>
    <row r="98" spans="1:3">
      <c r="A98">
        <v>41</v>
      </c>
      <c r="B98" s="3231" t="s">
        <v>3272</v>
      </c>
      <c r="C98" s="3228">
        <v>52.7</v>
      </c>
    </row>
    <row r="99" spans="1:3">
      <c r="A99">
        <v>42</v>
      </c>
      <c r="B99" s="3231" t="s">
        <v>3273</v>
      </c>
      <c r="C99" s="3228">
        <v>51.7</v>
      </c>
    </row>
    <row r="100" spans="1:3">
      <c r="A100">
        <v>43</v>
      </c>
      <c r="B100" s="3231" t="s">
        <v>3274</v>
      </c>
      <c r="C100" s="3228">
        <v>53.96</v>
      </c>
    </row>
    <row r="101" spans="1:3">
      <c r="A101">
        <v>44</v>
      </c>
      <c r="B101" s="3231" t="s">
        <v>3275</v>
      </c>
      <c r="C101" s="3228">
        <v>52.48</v>
      </c>
    </row>
    <row r="102" spans="1:3">
      <c r="A102">
        <v>45</v>
      </c>
      <c r="B102" s="3231" t="s">
        <v>3276</v>
      </c>
      <c r="C102" s="3228">
        <v>52.7</v>
      </c>
    </row>
    <row r="103" spans="1:3">
      <c r="A103">
        <v>46</v>
      </c>
      <c r="B103" s="3231" t="s">
        <v>3277</v>
      </c>
      <c r="C103" s="3228">
        <v>52.7</v>
      </c>
    </row>
    <row r="104" spans="1:3">
      <c r="A104">
        <v>47</v>
      </c>
      <c r="B104" s="3231" t="s">
        <v>3278</v>
      </c>
      <c r="C104" s="3228">
        <v>70.72</v>
      </c>
    </row>
    <row r="105" spans="1:3">
      <c r="A105">
        <v>48</v>
      </c>
      <c r="B105" s="3231" t="s">
        <v>3293</v>
      </c>
      <c r="C105" s="3228">
        <v>70.72</v>
      </c>
    </row>
    <row r="106" spans="1:3">
      <c r="A106">
        <v>49</v>
      </c>
      <c r="B106" s="3231" t="s">
        <v>3294</v>
      </c>
      <c r="C106" s="3228">
        <v>60.21</v>
      </c>
    </row>
    <row r="107" spans="1:3">
      <c r="A107">
        <v>50</v>
      </c>
      <c r="B107" s="3231" t="s">
        <v>3295</v>
      </c>
      <c r="C107" s="3228">
        <v>68.98</v>
      </c>
    </row>
    <row r="108" spans="1:3">
      <c r="A108">
        <v>51</v>
      </c>
      <c r="B108" s="3231" t="s">
        <v>3296</v>
      </c>
      <c r="C108" s="3228">
        <v>58.08</v>
      </c>
    </row>
    <row r="109" spans="1:3">
      <c r="A109">
        <v>52</v>
      </c>
      <c r="B109" s="3231" t="s">
        <v>3297</v>
      </c>
      <c r="C109" s="3228">
        <v>56.22</v>
      </c>
    </row>
    <row r="110" spans="1:3">
      <c r="A110">
        <v>53</v>
      </c>
      <c r="B110" s="3231" t="s">
        <v>3298</v>
      </c>
      <c r="C110" s="3228">
        <v>212.08</v>
      </c>
    </row>
    <row r="111" spans="1:3">
      <c r="A111">
        <v>54</v>
      </c>
      <c r="B111" s="3231" t="s">
        <v>3299</v>
      </c>
      <c r="C111" s="3228">
        <v>31.92</v>
      </c>
    </row>
    <row r="112" spans="1:3">
      <c r="A112">
        <v>55</v>
      </c>
      <c r="B112" s="3234" t="s">
        <v>3300</v>
      </c>
      <c r="C112" s="3228">
        <v>19.309999999999999</v>
      </c>
    </row>
    <row r="113" spans="1:3">
      <c r="A113">
        <v>56</v>
      </c>
      <c r="B113" s="3231" t="s">
        <v>3301</v>
      </c>
      <c r="C113">
        <v>140.79</v>
      </c>
    </row>
    <row r="114" spans="1:3">
      <c r="A114">
        <v>57</v>
      </c>
      <c r="B114" s="3231" t="s">
        <v>3302</v>
      </c>
      <c r="C114">
        <v>140.75</v>
      </c>
    </row>
    <row r="115" spans="1:3">
      <c r="A115">
        <v>58</v>
      </c>
      <c r="B115" s="3231" t="s">
        <v>3303</v>
      </c>
      <c r="C115">
        <v>43</v>
      </c>
    </row>
    <row r="116" spans="1:3">
      <c r="A116">
        <v>59</v>
      </c>
      <c r="B116" s="3231" t="s">
        <v>3304</v>
      </c>
      <c r="C116">
        <v>23.96</v>
      </c>
    </row>
    <row r="117" spans="1:3">
      <c r="A117">
        <v>60</v>
      </c>
      <c r="B117" s="3231" t="s">
        <v>3305</v>
      </c>
      <c r="C117">
        <v>67.37</v>
      </c>
    </row>
    <row r="118" spans="1:3">
      <c r="A118">
        <v>61</v>
      </c>
      <c r="B118" s="3231" t="s">
        <v>3306</v>
      </c>
      <c r="C118">
        <v>68.42</v>
      </c>
    </row>
    <row r="119" spans="1:3">
      <c r="A119">
        <v>62</v>
      </c>
      <c r="B119" s="3231" t="s">
        <v>3307</v>
      </c>
      <c r="C119">
        <v>68.42</v>
      </c>
    </row>
    <row r="120" spans="1:3">
      <c r="A120">
        <v>63</v>
      </c>
      <c r="B120" s="3231" t="s">
        <v>3308</v>
      </c>
      <c r="C120">
        <v>68.42</v>
      </c>
    </row>
    <row r="121" spans="1:3">
      <c r="A121">
        <v>64</v>
      </c>
      <c r="B121" s="3231" t="s">
        <v>3309</v>
      </c>
      <c r="C121">
        <v>68.42</v>
      </c>
    </row>
    <row r="122" spans="1:3">
      <c r="A122">
        <v>65</v>
      </c>
      <c r="B122" s="3231" t="s">
        <v>3310</v>
      </c>
      <c r="C122">
        <v>67.37</v>
      </c>
    </row>
    <row r="123" spans="1:3">
      <c r="A123">
        <v>66</v>
      </c>
      <c r="B123" s="3231" t="s">
        <v>3311</v>
      </c>
      <c r="C123">
        <v>23.96</v>
      </c>
    </row>
    <row r="124" spans="1:3">
      <c r="A124">
        <v>67</v>
      </c>
      <c r="B124" s="3231" t="s">
        <v>3312</v>
      </c>
      <c r="C124" s="3235">
        <f>466.69+407.64-SUM(C113:C123)</f>
        <v>93.450000000000045</v>
      </c>
    </row>
    <row r="125" spans="1:3">
      <c r="A125">
        <v>68</v>
      </c>
      <c r="B125" s="3231" t="s">
        <v>3313</v>
      </c>
      <c r="C125">
        <v>59.95</v>
      </c>
    </row>
    <row r="126" spans="1:3">
      <c r="A126">
        <v>69</v>
      </c>
      <c r="B126" s="3231" t="s">
        <v>3319</v>
      </c>
      <c r="C126">
        <v>24.32</v>
      </c>
    </row>
    <row r="127" spans="1:3">
      <c r="A127">
        <v>70</v>
      </c>
      <c r="B127" s="3231" t="s">
        <v>3314</v>
      </c>
      <c r="C127">
        <v>22.67</v>
      </c>
    </row>
    <row r="128" spans="1:3">
      <c r="A128">
        <v>71</v>
      </c>
      <c r="B128" s="3231" t="s">
        <v>3315</v>
      </c>
      <c r="C128">
        <v>22.93</v>
      </c>
    </row>
    <row r="129" spans="1:3">
      <c r="A129">
        <v>72</v>
      </c>
      <c r="B129" s="3231" t="s">
        <v>3316</v>
      </c>
      <c r="C129">
        <v>22.93</v>
      </c>
    </row>
    <row r="130" spans="1:3">
      <c r="A130">
        <v>73</v>
      </c>
      <c r="B130" s="3231" t="s">
        <v>3317</v>
      </c>
      <c r="C130">
        <v>34.119999999999997</v>
      </c>
    </row>
    <row r="131" spans="1:3">
      <c r="A131">
        <v>74</v>
      </c>
      <c r="B131" s="3231" t="s">
        <v>3318</v>
      </c>
      <c r="C131">
        <v>34.119999999999997</v>
      </c>
    </row>
    <row r="132" spans="1:3">
      <c r="A132">
        <v>75</v>
      </c>
      <c r="B132" s="3231" t="s">
        <v>3320</v>
      </c>
      <c r="C132">
        <v>35.35</v>
      </c>
    </row>
    <row r="133" spans="1:3">
      <c r="A133">
        <v>76</v>
      </c>
      <c r="B133" s="3231" t="s">
        <v>3321</v>
      </c>
      <c r="C133">
        <v>35.35</v>
      </c>
    </row>
    <row r="134" spans="1:3">
      <c r="A134">
        <v>77</v>
      </c>
      <c r="B134" s="3231" t="s">
        <v>3322</v>
      </c>
      <c r="C134">
        <v>31.47</v>
      </c>
    </row>
    <row r="135" spans="1:3">
      <c r="A135">
        <v>78</v>
      </c>
      <c r="B135" s="3231" t="s">
        <v>3323</v>
      </c>
      <c r="C135">
        <v>26.36</v>
      </c>
    </row>
    <row r="136" spans="1:3">
      <c r="A136">
        <v>79</v>
      </c>
      <c r="B136" s="3231" t="s">
        <v>3324</v>
      </c>
      <c r="C136">
        <f>376.62-SUM(C125:C135)</f>
        <v>27.049999999999955</v>
      </c>
    </row>
    <row r="137" spans="1:3">
      <c r="A137">
        <v>80</v>
      </c>
      <c r="B137" s="3231" t="s">
        <v>3325</v>
      </c>
      <c r="C137">
        <v>57.01</v>
      </c>
    </row>
    <row r="138" spans="1:3">
      <c r="A138">
        <v>81</v>
      </c>
      <c r="B138" s="3231" t="s">
        <v>3326</v>
      </c>
      <c r="C138">
        <v>56.28</v>
      </c>
    </row>
    <row r="139" spans="1:3">
      <c r="A139">
        <v>82</v>
      </c>
      <c r="B139" s="3231" t="s">
        <v>3327</v>
      </c>
      <c r="C139">
        <v>54.31</v>
      </c>
    </row>
    <row r="140" spans="1:3">
      <c r="A140">
        <v>83</v>
      </c>
      <c r="B140" s="3231" t="s">
        <v>3328</v>
      </c>
      <c r="C140">
        <v>55.68</v>
      </c>
    </row>
    <row r="141" spans="1:3">
      <c r="A141">
        <v>84</v>
      </c>
      <c r="B141" s="3231" t="s">
        <v>3329</v>
      </c>
      <c r="C141">
        <v>371.11</v>
      </c>
    </row>
    <row r="142" spans="1:3">
      <c r="A142">
        <v>85</v>
      </c>
      <c r="B142" s="3231" t="s">
        <v>3330</v>
      </c>
      <c r="C142">
        <v>33.85</v>
      </c>
    </row>
    <row r="143" spans="1:3">
      <c r="A143">
        <v>86</v>
      </c>
      <c r="B143" s="3231" t="s">
        <v>3331</v>
      </c>
      <c r="C143">
        <v>63.3</v>
      </c>
    </row>
    <row r="144" spans="1:3">
      <c r="A144">
        <v>87</v>
      </c>
      <c r="B144" s="3231" t="s">
        <v>3332</v>
      </c>
      <c r="C144">
        <v>86.29</v>
      </c>
    </row>
    <row r="145" spans="1:3">
      <c r="A145">
        <v>88</v>
      </c>
      <c r="B145" s="3231" t="s">
        <v>3333</v>
      </c>
      <c r="C145">
        <v>14.61</v>
      </c>
    </row>
    <row r="146" spans="1:3">
      <c r="A146">
        <v>89</v>
      </c>
      <c r="B146" s="3231" t="s">
        <v>3334</v>
      </c>
      <c r="C146">
        <v>13.71</v>
      </c>
    </row>
    <row r="147" spans="1:3">
      <c r="A147">
        <v>90</v>
      </c>
      <c r="B147" s="3231" t="s">
        <v>3335</v>
      </c>
      <c r="C147">
        <v>11.84</v>
      </c>
    </row>
    <row r="148" spans="1:3">
      <c r="A148">
        <v>91</v>
      </c>
      <c r="B148" s="3231" t="s">
        <v>3336</v>
      </c>
      <c r="C148">
        <f>842.08-SUM(C137:C147)</f>
        <v>24.090000000000032</v>
      </c>
    </row>
    <row r="149" spans="1:3">
      <c r="A149">
        <v>92</v>
      </c>
      <c r="B149" s="3231" t="s">
        <v>3337</v>
      </c>
      <c r="C149">
        <v>128.29</v>
      </c>
    </row>
    <row r="150" spans="1:3">
      <c r="A150">
        <v>93</v>
      </c>
      <c r="B150" s="3231" t="s">
        <v>3338</v>
      </c>
      <c r="C150">
        <v>63.52</v>
      </c>
    </row>
    <row r="151" spans="1:3">
      <c r="A151">
        <v>94</v>
      </c>
      <c r="B151" s="3231" t="s">
        <v>3339</v>
      </c>
      <c r="C151">
        <v>45.04</v>
      </c>
    </row>
    <row r="152" spans="1:3">
      <c r="A152">
        <v>95</v>
      </c>
      <c r="B152" s="3231" t="s">
        <v>3340</v>
      </c>
      <c r="C152">
        <v>15.38</v>
      </c>
    </row>
    <row r="153" spans="1:3">
      <c r="A153">
        <v>96</v>
      </c>
      <c r="B153" s="3231" t="s">
        <v>3341</v>
      </c>
      <c r="C153">
        <v>10.78</v>
      </c>
    </row>
    <row r="154" spans="1:3">
      <c r="A154">
        <v>97</v>
      </c>
      <c r="B154" s="3231" t="s">
        <v>3342</v>
      </c>
      <c r="C154">
        <v>19.760000000000002</v>
      </c>
    </row>
    <row r="155" spans="1:3">
      <c r="A155">
        <v>98</v>
      </c>
      <c r="B155" s="3231" t="s">
        <v>3343</v>
      </c>
      <c r="C155">
        <v>20.21</v>
      </c>
    </row>
    <row r="156" spans="1:3">
      <c r="A156">
        <v>99</v>
      </c>
      <c r="B156" s="3231" t="s">
        <v>3344</v>
      </c>
      <c r="C156">
        <v>9.35</v>
      </c>
    </row>
    <row r="157" spans="1:3">
      <c r="A157">
        <v>100</v>
      </c>
      <c r="B157" s="3231" t="s">
        <v>3345</v>
      </c>
      <c r="C157">
        <v>45.67</v>
      </c>
    </row>
    <row r="158" spans="1:3">
      <c r="A158">
        <v>101</v>
      </c>
      <c r="B158" s="3231" t="s">
        <v>3346</v>
      </c>
      <c r="C158">
        <v>47.83</v>
      </c>
    </row>
    <row r="159" spans="1:3">
      <c r="A159">
        <v>102</v>
      </c>
      <c r="B159" s="3231" t="s">
        <v>3347</v>
      </c>
      <c r="C159">
        <v>80.11</v>
      </c>
    </row>
    <row r="160" spans="1:3">
      <c r="A160">
        <v>103</v>
      </c>
      <c r="B160" s="3231" t="s">
        <v>3348</v>
      </c>
      <c r="C160">
        <f>9.63+1.64</f>
        <v>11.270000000000001</v>
      </c>
    </row>
    <row r="161" spans="1:3">
      <c r="A161">
        <v>104</v>
      </c>
      <c r="B161" s="3231" t="s">
        <v>3349</v>
      </c>
      <c r="C161">
        <v>194.59</v>
      </c>
    </row>
    <row r="162" spans="1:3">
      <c r="A162">
        <v>105</v>
      </c>
      <c r="B162" s="3231" t="s">
        <v>3350</v>
      </c>
      <c r="C162">
        <v>9.6999999999999993</v>
      </c>
    </row>
    <row r="163" spans="1:3">
      <c r="A163">
        <v>106</v>
      </c>
      <c r="B163" s="3231" t="s">
        <v>3351</v>
      </c>
      <c r="C163">
        <v>11.16</v>
      </c>
    </row>
    <row r="164" spans="1:3">
      <c r="A164">
        <v>107</v>
      </c>
      <c r="B164" s="3231" t="s">
        <v>3352</v>
      </c>
      <c r="C164">
        <v>7.09</v>
      </c>
    </row>
    <row r="165" spans="1:3">
      <c r="A165">
        <v>108</v>
      </c>
      <c r="B165" s="3231" t="s">
        <v>3353</v>
      </c>
      <c r="C165">
        <v>121.43</v>
      </c>
    </row>
    <row r="166" spans="1:3">
      <c r="A166">
        <v>109</v>
      </c>
      <c r="B166" s="3231" t="s">
        <v>3354</v>
      </c>
      <c r="C166">
        <v>33.69</v>
      </c>
    </row>
    <row r="167" spans="1:3">
      <c r="A167">
        <v>110</v>
      </c>
      <c r="B167" s="3231" t="s">
        <v>3355</v>
      </c>
      <c r="C167">
        <v>1616.26</v>
      </c>
    </row>
    <row r="168" spans="1:3">
      <c r="A168">
        <v>111</v>
      </c>
      <c r="B168" s="3231" t="s">
        <v>3356</v>
      </c>
      <c r="C168">
        <v>12.19</v>
      </c>
    </row>
    <row r="169" spans="1:3">
      <c r="A169">
        <v>112</v>
      </c>
      <c r="B169" s="3231" t="s">
        <v>3357</v>
      </c>
      <c r="C169">
        <v>15.35</v>
      </c>
    </row>
    <row r="170" spans="1:3">
      <c r="A170">
        <v>113</v>
      </c>
      <c r="B170" s="3231" t="s">
        <v>3358</v>
      </c>
      <c r="C170">
        <v>60.36</v>
      </c>
    </row>
    <row r="171" spans="1:3">
      <c r="A171">
        <v>114</v>
      </c>
      <c r="B171" s="3231" t="s">
        <v>3359</v>
      </c>
      <c r="C171">
        <v>1858.29</v>
      </c>
    </row>
    <row r="172" spans="1:3">
      <c r="A172">
        <v>115</v>
      </c>
      <c r="B172" s="3231" t="s">
        <v>3360</v>
      </c>
      <c r="C172">
        <f>5264.17-SUM(C161:C171)</f>
        <v>1324.06</v>
      </c>
    </row>
    <row r="173" spans="1:3">
      <c r="A173">
        <v>116</v>
      </c>
      <c r="B173" s="3231" t="s">
        <v>3361</v>
      </c>
      <c r="C173">
        <v>112.26</v>
      </c>
    </row>
    <row r="174" spans="1:3">
      <c r="A174">
        <v>117</v>
      </c>
      <c r="B174" s="3231" t="s">
        <v>3362</v>
      </c>
      <c r="C174">
        <v>29.66</v>
      </c>
    </row>
    <row r="175" spans="1:3">
      <c r="A175">
        <v>118</v>
      </c>
      <c r="B175" s="3231" t="s">
        <v>3363</v>
      </c>
      <c r="C175">
        <v>419.44</v>
      </c>
    </row>
    <row r="176" spans="1:3">
      <c r="A176">
        <v>119</v>
      </c>
      <c r="B176" s="3231" t="s">
        <v>3364</v>
      </c>
      <c r="C176">
        <v>19.45</v>
      </c>
    </row>
    <row r="177" spans="1:3">
      <c r="A177">
        <v>120</v>
      </c>
      <c r="B177" s="3231" t="s">
        <v>3365</v>
      </c>
      <c r="C177">
        <v>14.57</v>
      </c>
    </row>
    <row r="178" spans="1:3">
      <c r="A178">
        <v>121</v>
      </c>
      <c r="B178" s="3231" t="s">
        <v>3366</v>
      </c>
      <c r="C178">
        <v>2273.39</v>
      </c>
    </row>
    <row r="179" spans="1:3">
      <c r="A179">
        <v>122</v>
      </c>
      <c r="B179" s="3231" t="s">
        <v>3367</v>
      </c>
      <c r="C179">
        <v>1958.22</v>
      </c>
    </row>
    <row r="180" spans="1:3">
      <c r="A180">
        <v>123</v>
      </c>
      <c r="B180" s="3231" t="s">
        <v>3368</v>
      </c>
      <c r="C180">
        <v>1981.25</v>
      </c>
    </row>
    <row r="181" spans="1:3">
      <c r="A181">
        <v>124</v>
      </c>
      <c r="B181" s="3231" t="s">
        <v>3369</v>
      </c>
      <c r="C181">
        <v>3113.65</v>
      </c>
    </row>
    <row r="182" spans="1:3">
      <c r="A182">
        <v>125</v>
      </c>
      <c r="B182" s="3231" t="s">
        <v>3370</v>
      </c>
      <c r="C182">
        <v>105.91</v>
      </c>
    </row>
    <row r="183" spans="1:3">
      <c r="A183">
        <v>126</v>
      </c>
      <c r="B183" s="3231" t="s">
        <v>3371</v>
      </c>
      <c r="C183">
        <v>536.24</v>
      </c>
    </row>
    <row r="184" spans="1:3">
      <c r="A184">
        <v>127</v>
      </c>
      <c r="B184" s="3231" t="s">
        <v>3372</v>
      </c>
      <c r="C184">
        <v>231.51</v>
      </c>
    </row>
    <row r="185" spans="1:3">
      <c r="A185">
        <v>128</v>
      </c>
      <c r="B185" s="3231" t="s">
        <v>3373</v>
      </c>
      <c r="C185">
        <v>110.25</v>
      </c>
    </row>
    <row r="186" spans="1:3">
      <c r="A186">
        <v>129</v>
      </c>
      <c r="B186" s="3231" t="s">
        <v>3374</v>
      </c>
      <c r="C186">
        <v>558.21</v>
      </c>
    </row>
    <row r="187" spans="1:3">
      <c r="A187">
        <v>130</v>
      </c>
      <c r="B187" s="3231" t="s">
        <v>3375</v>
      </c>
      <c r="C187">
        <v>28.59</v>
      </c>
    </row>
    <row r="188" spans="1:3">
      <c r="A188">
        <v>131</v>
      </c>
      <c r="B188" s="3231" t="s">
        <v>3376</v>
      </c>
      <c r="C188">
        <v>2321.61</v>
      </c>
    </row>
    <row r="189" spans="1:3">
      <c r="A189">
        <v>132</v>
      </c>
      <c r="B189" s="3231" t="s">
        <v>3377</v>
      </c>
      <c r="C189">
        <v>1357.24</v>
      </c>
    </row>
    <row r="190" spans="1:3">
      <c r="C190">
        <f>SUM(C58:C189)</f>
        <v>36930.720000000001</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
  <sheetViews>
    <sheetView topLeftCell="A4" workbookViewId="0">
      <selection activeCell="C19" sqref="C19"/>
    </sheetView>
  </sheetViews>
  <sheetFormatPr defaultRowHeight="13.5"/>
  <cols>
    <col min="1" max="1" width="13" bestFit="1" customWidth="1"/>
    <col min="2" max="2" width="25" bestFit="1" customWidth="1"/>
  </cols>
  <sheetData>
    <row r="2" spans="1:2">
      <c r="A2" s="3228" t="s">
        <v>3382</v>
      </c>
      <c r="B2" s="3228" t="s">
        <v>3383</v>
      </c>
    </row>
    <row r="3" spans="1:2">
      <c r="A3" s="3228" t="s">
        <v>3384</v>
      </c>
      <c r="B3" s="3228" t="s">
        <v>3385</v>
      </c>
    </row>
    <row r="4" spans="1:2">
      <c r="A4" s="3228" t="s">
        <v>3386</v>
      </c>
      <c r="B4" s="3228" t="s">
        <v>3387</v>
      </c>
    </row>
    <row r="5" spans="1:2">
      <c r="A5" s="3228" t="s">
        <v>3388</v>
      </c>
      <c r="B5">
        <v>7207.22</v>
      </c>
    </row>
    <row r="6" spans="1:2">
      <c r="A6" s="3228" t="s">
        <v>3389</v>
      </c>
      <c r="B6" s="3228" t="s">
        <v>3390</v>
      </c>
    </row>
    <row r="7" spans="1:2">
      <c r="A7" s="3228" t="s">
        <v>3391</v>
      </c>
      <c r="B7">
        <v>2005</v>
      </c>
    </row>
    <row r="9" spans="1:2">
      <c r="A9" s="3228" t="s">
        <v>3166</v>
      </c>
      <c r="B9" s="3228" t="s">
        <v>3392</v>
      </c>
    </row>
    <row r="10" spans="1:2">
      <c r="A10" s="3228" t="s">
        <v>3393</v>
      </c>
      <c r="B10" s="3228" t="s">
        <v>3385</v>
      </c>
    </row>
    <row r="11" spans="1:2">
      <c r="A11" s="3228" t="s">
        <v>3394</v>
      </c>
      <c r="B11" s="3232">
        <v>60400</v>
      </c>
    </row>
    <row r="12" spans="1:2">
      <c r="A12" s="3228" t="s">
        <v>3395</v>
      </c>
      <c r="B12" s="3228" t="s">
        <v>3396</v>
      </c>
    </row>
    <row r="13" spans="1:2">
      <c r="A13" s="3228" t="s">
        <v>3397</v>
      </c>
      <c r="B13">
        <v>2462.7600000000002</v>
      </c>
    </row>
    <row r="14" spans="1:2">
      <c r="A14" s="3228" t="s">
        <v>3218</v>
      </c>
      <c r="B14">
        <v>2.9260000000000002</v>
      </c>
    </row>
    <row r="16" spans="1:2">
      <c r="A16" s="3228" t="s">
        <v>3283</v>
      </c>
      <c r="B16">
        <v>3099.76</v>
      </c>
    </row>
    <row r="17" spans="1:2">
      <c r="A17" s="3228" t="s">
        <v>3284</v>
      </c>
      <c r="B17">
        <v>4107.46</v>
      </c>
    </row>
    <row r="18" spans="1:2">
      <c r="B18">
        <f>SUM(B16:B17)</f>
        <v>7207.22</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G19" sqref="G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1571</v>
      </c>
      <c r="B1" s="1254"/>
      <c r="C1" s="1254"/>
      <c r="D1" s="1254"/>
      <c r="E1" s="1254"/>
      <c r="F1" s="1254"/>
      <c r="G1" s="1254"/>
      <c r="H1" s="1254"/>
      <c r="I1" s="1254"/>
      <c r="J1" s="1254"/>
      <c r="K1" s="1254"/>
      <c r="L1" s="1254"/>
      <c r="M1" s="1254"/>
      <c r="N1" s="1254"/>
      <c r="O1" s="1254"/>
      <c r="P1" s="1254"/>
    </row>
    <row r="2" spans="1:16" ht="15">
      <c r="A2" s="3358" t="s">
        <v>1572</v>
      </c>
      <c r="B2" s="3358"/>
      <c r="C2" s="3358"/>
      <c r="D2" s="885" t="s">
        <v>1548</v>
      </c>
      <c r="E2" s="1775" t="s">
        <v>1549</v>
      </c>
      <c r="F2" s="2833"/>
      <c r="G2" s="2824"/>
      <c r="H2" s="2825"/>
      <c r="I2" s="2498" t="s">
        <v>1573</v>
      </c>
      <c r="J2" s="2833"/>
      <c r="K2" s="2833"/>
      <c r="L2" s="2833"/>
      <c r="M2" s="2833"/>
      <c r="N2" s="2835"/>
      <c r="O2" s="2833"/>
      <c r="P2" s="2833"/>
    </row>
    <row r="3" spans="1:16" ht="15.75" thickBot="1">
      <c r="A3" s="3359" t="s">
        <v>1546</v>
      </c>
      <c r="B3" s="3359"/>
      <c r="C3" s="3359"/>
      <c r="D3" s="46">
        <f>'数据-基础表'!AY6</f>
        <v>10807.05</v>
      </c>
      <c r="E3" s="46">
        <f>'数据-基础表'!AZ5</f>
        <v>58300.299999999996</v>
      </c>
      <c r="F3" s="2833"/>
      <c r="G3" s="1260"/>
      <c r="H3" s="1138" t="s">
        <v>1547</v>
      </c>
      <c r="I3" s="945">
        <f>ROUND('数据-基础表'!B3/'数据-基础表'!A3,2)</f>
        <v>5.39</v>
      </c>
      <c r="J3" s="2833"/>
      <c r="K3" s="2833"/>
      <c r="L3" s="2833"/>
      <c r="M3" s="2833"/>
      <c r="N3" s="2835"/>
      <c r="O3" s="2833"/>
      <c r="P3" s="2833"/>
    </row>
    <row r="4" spans="1:16" ht="15">
      <c r="A4" s="3360"/>
      <c r="B4" s="3361"/>
      <c r="C4" s="3362"/>
      <c r="D4" s="1777" t="s">
        <v>1548</v>
      </c>
      <c r="E4" s="1778" t="s">
        <v>1549</v>
      </c>
      <c r="F4" s="2833"/>
      <c r="G4" s="2826" t="s">
        <v>1574</v>
      </c>
      <c r="H4" s="1138" t="s">
        <v>1554</v>
      </c>
      <c r="I4" s="945">
        <f>ROUND(SUMIF('数据-基础表'!I9:AS9,"地上",'数据-基础表'!I5:AS5)/'数据-基础表'!A3,2)</f>
        <v>4.2699999999999996</v>
      </c>
      <c r="J4" s="2833"/>
      <c r="K4" s="2833"/>
      <c r="L4" s="2833"/>
      <c r="M4" s="2833"/>
      <c r="N4" s="2835"/>
      <c r="O4" s="2833"/>
      <c r="P4" s="2833"/>
    </row>
    <row r="5" spans="1:16">
      <c r="A5" s="47" t="s">
        <v>1550</v>
      </c>
      <c r="B5" s="3363" t="s">
        <v>1551</v>
      </c>
      <c r="C5" s="3363"/>
      <c r="D5" s="48">
        <f>ROUND($D$3*E5/$E$3,2)</f>
        <v>0</v>
      </c>
      <c r="E5" s="49">
        <f>SUMIF('数据-基础表'!$11:$11,"住宅",'数据-基础表'!$5:$5)</f>
        <v>0</v>
      </c>
      <c r="F5" s="2833"/>
      <c r="G5" s="1260"/>
      <c r="H5" s="1138" t="s">
        <v>1547</v>
      </c>
      <c r="I5" s="945">
        <f>ROUND(E31/D31,2)</f>
        <v>5.39</v>
      </c>
      <c r="J5" s="2833"/>
      <c r="K5" s="2833"/>
      <c r="L5" s="2833"/>
      <c r="M5" s="2833"/>
      <c r="N5" s="2833"/>
      <c r="O5" s="2833"/>
      <c r="P5" s="2833"/>
    </row>
    <row r="6" spans="1:16" ht="15" thickBot="1">
      <c r="A6" s="1780"/>
      <c r="B6" s="3363" t="s">
        <v>1552</v>
      </c>
      <c r="C6" s="3363"/>
      <c r="D6" s="48">
        <f>ROUND($D$3*E6/$E$3,2)</f>
        <v>10807.05</v>
      </c>
      <c r="E6" s="49">
        <f>E3-E5</f>
        <v>58300.299999999996</v>
      </c>
      <c r="F6" s="2833"/>
      <c r="G6" s="2827" t="s">
        <v>1553</v>
      </c>
      <c r="H6" s="1261" t="s">
        <v>1554</v>
      </c>
      <c r="I6" s="2828">
        <f>ROUND(F31/D31,2)</f>
        <v>4.18</v>
      </c>
      <c r="J6" s="2833"/>
      <c r="K6" s="2833"/>
      <c r="L6" s="2833"/>
      <c r="M6" s="2833"/>
      <c r="N6" s="2833"/>
      <c r="O6" s="2833"/>
      <c r="P6" s="2833"/>
    </row>
    <row r="7" spans="1:16" ht="15.75" thickBot="1">
      <c r="A7" s="3355"/>
      <c r="B7" s="3356"/>
      <c r="C7" s="3357"/>
      <c r="D7" s="1777" t="s">
        <v>1548</v>
      </c>
      <c r="E7" s="1781" t="s">
        <v>1555</v>
      </c>
      <c r="F7" s="2833"/>
      <c r="G7" s="2829" t="s">
        <v>1556</v>
      </c>
      <c r="H7" s="2830"/>
      <c r="I7" s="2831">
        <v>4.2699999999999996</v>
      </c>
      <c r="J7" s="2833"/>
      <c r="K7" s="2833"/>
      <c r="L7" s="2833"/>
      <c r="M7" s="2833"/>
      <c r="N7" s="2833"/>
      <c r="O7" s="2833"/>
      <c r="P7" s="2833"/>
    </row>
    <row r="8" spans="1:16">
      <c r="A8" s="47" t="s">
        <v>1557</v>
      </c>
      <c r="B8" s="50" t="s">
        <v>1558</v>
      </c>
      <c r="C8" s="48" t="s">
        <v>1559</v>
      </c>
      <c r="D8" s="48">
        <f t="shared" ref="D8:D15" si="0">ROUND($D$3*E8/$E$3,2)</f>
        <v>8365.1</v>
      </c>
      <c r="E8" s="51">
        <f>SUMIF('数据-基础表'!BB10:BK10,"地上",'数据-基础表'!BB5:BK5)</f>
        <v>45126.799999999996</v>
      </c>
      <c r="F8" s="2833"/>
      <c r="G8" s="2834"/>
      <c r="H8" s="2834"/>
      <c r="I8" s="2833"/>
      <c r="J8" s="2833"/>
      <c r="K8" s="2833"/>
      <c r="L8" s="2833"/>
      <c r="M8" s="2833"/>
      <c r="N8" s="2833"/>
      <c r="O8" s="2833"/>
      <c r="P8" s="2833"/>
    </row>
    <row r="9" spans="1:16">
      <c r="A9" s="1782"/>
      <c r="B9" s="1783"/>
      <c r="C9" s="48" t="s">
        <v>1560</v>
      </c>
      <c r="D9" s="48">
        <f t="shared" si="0"/>
        <v>0</v>
      </c>
      <c r="E9" s="52">
        <v>0</v>
      </c>
      <c r="F9" s="2833"/>
      <c r="G9" s="2834"/>
      <c r="H9" s="2834"/>
      <c r="I9" s="2833"/>
      <c r="J9" s="2833"/>
      <c r="K9" s="2833"/>
      <c r="L9" s="2833"/>
      <c r="M9" s="2833"/>
      <c r="N9" s="2833"/>
      <c r="O9" s="2833"/>
      <c r="P9" s="2833"/>
    </row>
    <row r="10" spans="1:16">
      <c r="A10" s="1782"/>
      <c r="B10" s="1783"/>
      <c r="C10" s="48" t="s">
        <v>1569</v>
      </c>
      <c r="D10" s="48">
        <f t="shared" si="0"/>
        <v>2441.9499999999998</v>
      </c>
      <c r="E10" s="51">
        <f>SUMPRODUCT(('数据-基础表'!BB10:BK10="地下")*('数据-基础表'!BB11:BK11="商业")*('数据-基础表'!BB5:BK5))</f>
        <v>13173.5</v>
      </c>
      <c r="F10" s="2833"/>
      <c r="G10" s="2834"/>
      <c r="H10" s="2834"/>
      <c r="I10" s="2833"/>
      <c r="J10" s="2833"/>
      <c r="K10" s="2833"/>
      <c r="L10" s="2833"/>
      <c r="M10" s="2833"/>
      <c r="N10" s="2833"/>
      <c r="O10" s="2833"/>
      <c r="P10" s="2833"/>
    </row>
    <row r="11" spans="1:16">
      <c r="A11" s="1782"/>
      <c r="B11" s="1783"/>
      <c r="C11" s="48" t="s">
        <v>1561</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1562</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1563</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1575</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2"/>
      <c r="B15" s="1783"/>
      <c r="C15" s="48" t="s">
        <v>1570</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1564</v>
      </c>
      <c r="D16" s="50">
        <f>SUM(D8:D15)</f>
        <v>10807.05</v>
      </c>
      <c r="E16" s="53">
        <f>SUM(E8:E15)</f>
        <v>58300.299999999996</v>
      </c>
      <c r="F16" s="2833"/>
      <c r="G16" s="2834"/>
      <c r="H16" s="1784" t="s">
        <v>1576</v>
      </c>
      <c r="I16" s="1785"/>
      <c r="J16" s="1254"/>
      <c r="K16" s="3352" t="s">
        <v>1576</v>
      </c>
      <c r="L16" s="3353"/>
      <c r="M16" s="3353"/>
      <c r="N16" s="3353"/>
      <c r="O16" s="3353"/>
      <c r="P16" s="3354"/>
    </row>
    <row r="17" spans="1:19" ht="15">
      <c r="A17" s="1786" t="s">
        <v>1577</v>
      </c>
      <c r="B17" s="1787" t="s">
        <v>1578</v>
      </c>
      <c r="C17" s="1788" t="s">
        <v>1579</v>
      </c>
      <c r="D17" s="1789" t="s">
        <v>1567</v>
      </c>
      <c r="E17" s="1790" t="s">
        <v>1568</v>
      </c>
      <c r="F17" s="1791"/>
      <c r="G17" s="1792"/>
      <c r="H17" s="1793" t="s">
        <v>1580</v>
      </c>
      <c r="I17" s="1794" t="s">
        <v>1565</v>
      </c>
      <c r="J17" s="1254"/>
      <c r="K17" s="3349" t="s">
        <v>1581</v>
      </c>
      <c r="L17" s="3350"/>
      <c r="M17" s="3351"/>
      <c r="N17" s="3349" t="s">
        <v>1582</v>
      </c>
      <c r="O17" s="3350"/>
      <c r="P17" s="3351"/>
      <c r="R17" s="1776" t="s">
        <v>1583</v>
      </c>
      <c r="S17" s="60"/>
    </row>
    <row r="18" spans="1:19" ht="15">
      <c r="A18" s="1782"/>
      <c r="B18" s="1795"/>
      <c r="C18" s="1796"/>
      <c r="D18" s="1797"/>
      <c r="E18" s="1798" t="s">
        <v>1584</v>
      </c>
      <c r="F18" s="1799" t="s">
        <v>1585</v>
      </c>
      <c r="G18" s="1800" t="s">
        <v>1586</v>
      </c>
      <c r="H18" s="1153" t="s">
        <v>1587</v>
      </c>
      <c r="I18" s="1801" t="s">
        <v>1588</v>
      </c>
      <c r="J18" s="1254"/>
      <c r="K18" s="1153" t="s">
        <v>1589</v>
      </c>
      <c r="L18" s="1802" t="s">
        <v>1590</v>
      </c>
      <c r="M18" s="945" t="s">
        <v>1591</v>
      </c>
      <c r="N18" s="1153" t="s">
        <v>1589</v>
      </c>
      <c r="O18" s="1802" t="s">
        <v>1590</v>
      </c>
      <c r="P18" s="945" t="s">
        <v>1591</v>
      </c>
      <c r="R18" s="1138" t="s">
        <v>1592</v>
      </c>
      <c r="S18" s="1138" t="s">
        <v>1593</v>
      </c>
    </row>
    <row r="19" spans="1:19">
      <c r="A19" s="1803"/>
      <c r="B19" s="50" t="s">
        <v>1566</v>
      </c>
      <c r="C19" s="3244" t="s">
        <v>3492</v>
      </c>
      <c r="D19" s="48">
        <f>ROUND($D$3*E19/$E$3,2)</f>
        <v>10807.05</v>
      </c>
      <c r="E19" s="56">
        <f t="shared" ref="E19:E26" si="1">SUM(F19:G19)</f>
        <v>58300.299999999996</v>
      </c>
      <c r="F19" s="2973">
        <f>'数据-基础表'!I13</f>
        <v>45126.799999999996</v>
      </c>
      <c r="G19" s="2974">
        <f>'数据-基础表'!K14</f>
        <v>13173.5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10807.05</v>
      </c>
      <c r="S19" s="1139">
        <f t="shared" si="5"/>
        <v>58300.299999999996</v>
      </c>
    </row>
    <row r="20" spans="1:19">
      <c r="A20" s="1807"/>
      <c r="B20" s="50" t="s">
        <v>1594</v>
      </c>
      <c r="C20" s="1804"/>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1594</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1594</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1594</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1594</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1594</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1594</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1595</v>
      </c>
      <c r="D27" s="1255">
        <f>SUM(D19:D26)</f>
        <v>10807.05</v>
      </c>
      <c r="E27" s="1256">
        <f>IF(SUM(E19:E26)='数据-基础表'!BA5,SUM(E19:E26),IF(F27="地上面积有误","面积有误","地下面积有误"))</f>
        <v>58300.299999999996</v>
      </c>
      <c r="F27" s="1255">
        <f>IF(SUM(F19:F26)=E8,SUM(F19:F26),"地上面积有误")</f>
        <v>45126.799999999996</v>
      </c>
      <c r="G27" s="1257">
        <f>SUM(G19:G26)</f>
        <v>13173.5</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10807.05</v>
      </c>
      <c r="S27" s="1138">
        <f>IF(SUM(S19:S26)=$E$3,SUM(S19:S26),SUM(S19:S26)&amp;"误差"&amp;ROUND(SUM(S19:S26)-E3,2))</f>
        <v>58300.299999999996</v>
      </c>
    </row>
    <row r="28" spans="1:19">
      <c r="A28" s="1807"/>
      <c r="B28" s="50" t="s">
        <v>1596</v>
      </c>
      <c r="C28" s="1150" t="s">
        <v>1597</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7"/>
      <c r="B29" s="50" t="s">
        <v>1596</v>
      </c>
      <c r="C29" s="1811" t="s">
        <v>1598</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1595</v>
      </c>
      <c r="D30" s="1255">
        <f>SUM(D28:D29)</f>
        <v>0</v>
      </c>
      <c r="E30" s="1255">
        <f>SUM(E28:E29)</f>
        <v>0</v>
      </c>
      <c r="F30" s="1255">
        <f>SUM(F28:F29)</f>
        <v>0</v>
      </c>
      <c r="G30" s="1257">
        <f>SUM(G28:G29)</f>
        <v>0</v>
      </c>
      <c r="H30" s="2833"/>
      <c r="I30" s="2833"/>
      <c r="J30" s="2833"/>
      <c r="K30" s="2833"/>
      <c r="L30" s="2833"/>
      <c r="M30" s="2833"/>
      <c r="N30" s="2833"/>
      <c r="O30" s="2833"/>
      <c r="P30" s="2833"/>
    </row>
    <row r="31" spans="1:19" ht="15.75" thickBot="1">
      <c r="A31" s="1813"/>
      <c r="B31" s="1814"/>
      <c r="C31" s="925" t="s">
        <v>1599</v>
      </c>
      <c r="D31" s="685">
        <f>D27+D30</f>
        <v>10807.05</v>
      </c>
      <c r="E31" s="685">
        <f>E27+E30</f>
        <v>58300.299999999996</v>
      </c>
      <c r="F31" s="686">
        <f>F27+F30</f>
        <v>45126.799999999996</v>
      </c>
      <c r="G31" s="687">
        <f>G27+G30</f>
        <v>13173.5</v>
      </c>
      <c r="H31" s="2833"/>
      <c r="I31" s="2833"/>
      <c r="J31" s="2833"/>
      <c r="K31" s="2833"/>
      <c r="L31" s="2833"/>
      <c r="M31" s="2833"/>
      <c r="N31" s="2833"/>
      <c r="O31" s="2833"/>
      <c r="P31" s="2833"/>
    </row>
    <row r="32" spans="1:19">
      <c r="A32" s="1779"/>
      <c r="B32" s="1779" t="s">
        <v>1600</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3" width="8.75" style="1819" customWidth="1"/>
    <col min="24"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1601</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1602</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1603</v>
      </c>
      <c r="B4" s="1825"/>
      <c r="C4" s="1826"/>
      <c r="D4" s="1827"/>
      <c r="E4" s="1826" t="s">
        <v>1604</v>
      </c>
      <c r="F4" s="1826"/>
      <c r="G4" s="1826"/>
      <c r="H4" s="1826"/>
      <c r="I4" s="1826"/>
      <c r="J4" s="1828"/>
      <c r="K4" s="1829"/>
      <c r="L4" s="1830"/>
      <c r="M4" s="1826"/>
      <c r="N4" s="1826" t="s">
        <v>1605</v>
      </c>
      <c r="O4" s="1826"/>
      <c r="P4" s="1826"/>
      <c r="Q4" s="1826"/>
      <c r="R4" s="1826"/>
      <c r="S4" s="1828"/>
      <c r="T4" s="2832" t="str">
        <f>'数据-汇总表'!I17</f>
        <v>按面积比例</v>
      </c>
      <c r="U4" s="1825" t="s">
        <v>1606</v>
      </c>
      <c r="V4" s="1826"/>
      <c r="W4" s="1826"/>
      <c r="X4" s="1826"/>
      <c r="Y4" s="1828"/>
      <c r="Z4" s="1788" t="s">
        <v>1607</v>
      </c>
      <c r="AA4" s="1788"/>
      <c r="AB4" s="1788"/>
      <c r="AC4" s="1788"/>
      <c r="AD4" s="1788"/>
      <c r="AE4" s="1786" t="s">
        <v>1608</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1609</v>
      </c>
      <c r="B5" s="1833" t="s">
        <v>1610</v>
      </c>
      <c r="C5" s="1834" t="s">
        <v>1611</v>
      </c>
      <c r="D5" s="1835" t="s">
        <v>1612</v>
      </c>
      <c r="E5" s="1159" t="s">
        <v>1613</v>
      </c>
      <c r="F5" s="1836" t="s">
        <v>1614</v>
      </c>
      <c r="G5" s="1159" t="s">
        <v>1615</v>
      </c>
      <c r="H5" s="1159" t="s">
        <v>1616</v>
      </c>
      <c r="I5" s="1159" t="s">
        <v>1617</v>
      </c>
      <c r="J5" s="1837" t="s">
        <v>1618</v>
      </c>
      <c r="K5" s="1838" t="s">
        <v>1619</v>
      </c>
      <c r="L5" s="1839" t="s">
        <v>1620</v>
      </c>
      <c r="M5" s="1840" t="s">
        <v>1621</v>
      </c>
      <c r="N5" s="1841" t="s">
        <v>3445</v>
      </c>
      <c r="O5" s="1839" t="s">
        <v>1622</v>
      </c>
      <c r="P5" s="1842" t="s">
        <v>1623</v>
      </c>
      <c r="Q5" s="65" t="s">
        <v>1624</v>
      </c>
      <c r="R5" s="1843" t="s">
        <v>1625</v>
      </c>
      <c r="S5" s="1844" t="s">
        <v>1626</v>
      </c>
      <c r="T5" s="1845" t="s">
        <v>1627</v>
      </c>
      <c r="U5" s="1158" t="s">
        <v>1628</v>
      </c>
      <c r="V5" s="1159" t="s">
        <v>1629</v>
      </c>
      <c r="W5" s="1159" t="s">
        <v>1630</v>
      </c>
      <c r="X5" s="67"/>
      <c r="Y5" s="66" t="s">
        <v>1631</v>
      </c>
      <c r="Z5" s="1846" t="s">
        <v>1628</v>
      </c>
      <c r="AA5" s="1159" t="s">
        <v>1629</v>
      </c>
      <c r="AB5" s="1159" t="s">
        <v>1630</v>
      </c>
      <c r="AC5" s="67"/>
      <c r="AD5" s="67" t="s">
        <v>1631</v>
      </c>
      <c r="AE5" s="1158" t="s">
        <v>1632</v>
      </c>
      <c r="AF5" s="1159" t="s">
        <v>1633</v>
      </c>
      <c r="AG5" s="66" t="s">
        <v>1634</v>
      </c>
      <c r="AH5" s="1158" t="s">
        <v>1635</v>
      </c>
      <c r="AI5" s="1846" t="s">
        <v>1636</v>
      </c>
      <c r="AJ5" s="1846" t="s">
        <v>1637</v>
      </c>
      <c r="AK5" s="1159" t="s">
        <v>1638</v>
      </c>
      <c r="AL5" s="1159" t="s">
        <v>1639</v>
      </c>
      <c r="AM5" s="66" t="s">
        <v>1640</v>
      </c>
      <c r="AN5" s="1847" t="s">
        <v>1641</v>
      </c>
      <c r="AO5" s="1698" t="s">
        <v>1642</v>
      </c>
      <c r="AP5" s="1140" t="s">
        <v>1643</v>
      </c>
      <c r="AQ5" s="1848" t="s">
        <v>1644</v>
      </c>
      <c r="AR5" s="1848" t="s">
        <v>1645</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隆福大厦</v>
      </c>
      <c r="B6" s="1850" t="str">
        <f>IF(A6=0,"","经营性")</f>
        <v>经营性</v>
      </c>
      <c r="C6" s="1851" t="s">
        <v>1098</v>
      </c>
      <c r="D6" s="948">
        <f>SUMIF(项目基本情况!D$12:I$12,C6,项目基本情况!D$14:I$14)</f>
        <v>40</v>
      </c>
      <c r="E6" s="947">
        <f>IF(B6="","",SUMIF(项目基本情况!D$12:I$12,C6,项目基本情况!D$13:I$13))</f>
        <v>56423</v>
      </c>
      <c r="F6" s="68">
        <f>SUMIF(项目基本情况!D$12:I$12,C6,项目基本情况!D$15:I$15)</f>
        <v>32</v>
      </c>
      <c r="G6" s="69">
        <f>IF(ISERROR(ROUND(POWER(1+H6,D6-F6)*(POWER(1+H6,F6)-1)/(POWER(1+H6,D6)-1),3)),0,ROUND(POWER(1+H6,D6-F6)*(POWER(1+H6,F6)-1)/(POWER(1+H6,D6)-1),3))</f>
        <v>0.92100000000000004</v>
      </c>
      <c r="H6" s="741">
        <v>0.05</v>
      </c>
      <c r="I6" s="741">
        <v>5.5E-2</v>
      </c>
      <c r="J6" s="70">
        <v>7.4999999999999997E-2</v>
      </c>
      <c r="K6" s="1142">
        <f>SUMIF('数据-汇总表'!C$19:C$33,A6,'数据-汇总表'!E$19:E$33)</f>
        <v>58300.299999999996</v>
      </c>
      <c r="L6" s="742">
        <v>6500</v>
      </c>
      <c r="M6" s="71">
        <f t="shared" ref="M6:M14" si="0">ROUND(K6*L6/10000,0)</f>
        <v>37895</v>
      </c>
      <c r="N6" s="740">
        <f>P19</f>
        <v>0.82</v>
      </c>
      <c r="O6" s="71" t="str">
        <f>IF($N$5="成新度","——",ROUND(M6*N6,0))</f>
        <v>——</v>
      </c>
      <c r="P6" s="72" t="str">
        <f>IF($N$5="成新度","——",M6-O6)</f>
        <v>——</v>
      </c>
      <c r="Q6" s="743">
        <v>0.25</v>
      </c>
      <c r="R6" s="73">
        <f ca="1">SUMIF('数据-汇总表'!C$19:C$33,A6,'数据-汇总表'!R$19:R$27)</f>
        <v>10807.05</v>
      </c>
      <c r="S6" s="54">
        <f>IF('数据-汇总表'!$I$17="按面积比例",SUMIF('数据-汇总表'!C$19:C$33,A6,'数据-汇总表'!K$19:K$33),SUMIF('数据-汇总表'!C$19:C$33,A6,'数据-汇总表'!N$19:N$33))</f>
        <v>0</v>
      </c>
      <c r="T6" s="1287">
        <f>ROUND($L$14*S6/10000,0)</f>
        <v>0</v>
      </c>
      <c r="U6" s="74">
        <f>U21</f>
        <v>7.91</v>
      </c>
      <c r="V6" s="75">
        <v>0</v>
      </c>
      <c r="W6" s="75">
        <v>0.1</v>
      </c>
      <c r="X6" s="1152"/>
      <c r="Y6" s="76">
        <f>N6</f>
        <v>0.82</v>
      </c>
      <c r="Z6" s="77"/>
      <c r="AA6" s="70"/>
      <c r="AB6" s="70"/>
      <c r="AC6" s="1152"/>
      <c r="AD6" s="78"/>
      <c r="AE6" s="1153">
        <f ca="1">IF(AN6="",0,SUMIF(INDIRECT("'"&amp;AN6&amp;"'"&amp;"!E:E"),$AE$5,INDIRECT("'"&amp;AN6&amp;"'"&amp;"!F:F")))</f>
        <v>32</v>
      </c>
      <c r="AF6" s="1483"/>
      <c r="AG6" s="143">
        <f>IF(AF6="",0,AE6-AF6)</f>
        <v>0</v>
      </c>
      <c r="AH6" s="79"/>
      <c r="AI6" s="81">
        <v>365</v>
      </c>
      <c r="AJ6" s="82"/>
      <c r="AK6" s="83">
        <v>1.4999999999999999E-2</v>
      </c>
      <c r="AL6" s="84">
        <v>1.5E-3</v>
      </c>
      <c r="AM6" s="85">
        <v>0.02</v>
      </c>
      <c r="AN6" s="1852" t="s">
        <v>3458</v>
      </c>
      <c r="AO6" s="55">
        <f ca="1">SUMIF(INDIRECT("'"&amp;AN6&amp;"'"&amp;"!A:A"),"总价",INDIRECT("'"&amp;AN6&amp;"'"&amp;"!B:B"))</f>
        <v>170672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1646</v>
      </c>
      <c r="B14" s="1850" t="s">
        <v>1647</v>
      </c>
      <c r="C14" s="1855" t="s">
        <v>1646</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1648</v>
      </c>
      <c r="B15" s="1850" t="s">
        <v>1647</v>
      </c>
      <c r="C15" s="1855" t="s">
        <v>1649</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1650</v>
      </c>
      <c r="B16" s="93"/>
      <c r="C16" s="923"/>
      <c r="D16" s="1857"/>
      <c r="E16" s="93"/>
      <c r="F16" s="93"/>
      <c r="G16" s="94">
        <f>ROUND(SUMPRODUCT(G6:G13,K6:K13)/SUMPRODUCT((G6:G13&gt;0)*(K6:K13)),3)</f>
        <v>0.92100000000000004</v>
      </c>
      <c r="H16" s="95">
        <f>ROUND(SUMPRODUCT(H6:H13,K6:K13)/SUMPRODUCT((H6:H13&gt;0)*(K6:K13)),3)</f>
        <v>0.05</v>
      </c>
      <c r="I16" s="96"/>
      <c r="J16" s="96"/>
      <c r="K16" s="97">
        <f>SUM(K6:K15)</f>
        <v>58300.299999999996</v>
      </c>
      <c r="L16" s="98">
        <f>ROUND(M16*10000/SUM(K6:K14),0)</f>
        <v>6500</v>
      </c>
      <c r="M16" s="98">
        <f>SUM(M6:M14)</f>
        <v>37895</v>
      </c>
      <c r="N16" s="99">
        <f>ROUND(SUMPRODUCT(M6:M14,N6:N14)/M16,3)</f>
        <v>0.82</v>
      </c>
      <c r="O16" s="98">
        <f>SUM(O6:O14)</f>
        <v>0</v>
      </c>
      <c r="P16" s="98">
        <f>SUM(P6:P14)</f>
        <v>0</v>
      </c>
      <c r="Q16" s="100">
        <f>ROUND(SUMPRODUCT(Q6:Q13,K6:K13)/SUMPRODUCT((Q6:Q13&gt;0)*(K6:K13)),2)</f>
        <v>0.25</v>
      </c>
      <c r="R16" s="1146">
        <f ca="1">SUM(R6:R13)</f>
        <v>10807.05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1651</v>
      </c>
      <c r="B18" s="2861"/>
      <c r="C18" s="2849"/>
      <c r="D18" s="2852"/>
      <c r="E18" s="2849"/>
      <c r="F18" s="2849"/>
      <c r="G18" s="2849"/>
      <c r="H18" s="2849"/>
      <c r="I18" s="2849"/>
      <c r="J18" s="2849"/>
      <c r="K18" s="2848"/>
      <c r="L18" s="2848"/>
      <c r="M18" s="2847"/>
      <c r="N18" s="2847">
        <v>2014</v>
      </c>
      <c r="O18" s="2847">
        <v>0.7</v>
      </c>
      <c r="P18" s="2847"/>
      <c r="Q18" s="2847"/>
      <c r="R18" s="2847"/>
      <c r="S18" s="2847"/>
      <c r="T18" s="3256" t="s">
        <v>3493</v>
      </c>
      <c r="U18" s="2847"/>
      <c r="V18" s="2847"/>
      <c r="W18" s="3256"/>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9" t="s">
        <v>1652</v>
      </c>
      <c r="B19" s="108">
        <v>0</v>
      </c>
      <c r="C19" s="2977" t="s">
        <v>2790</v>
      </c>
      <c r="D19" s="2852"/>
      <c r="E19" s="2849"/>
      <c r="F19" s="2849"/>
      <c r="G19" s="2849"/>
      <c r="H19" s="2849"/>
      <c r="I19" s="2849"/>
      <c r="J19" s="2849"/>
      <c r="K19" s="2848"/>
      <c r="L19" s="2848"/>
      <c r="M19" s="2847"/>
      <c r="N19" s="2847">
        <v>2018</v>
      </c>
      <c r="O19" s="2847">
        <v>0.93</v>
      </c>
      <c r="P19" s="2847">
        <f>ROUND((O18+O19)/2,2)</f>
        <v>0.82</v>
      </c>
      <c r="Q19" s="2847"/>
      <c r="R19" s="2847"/>
      <c r="S19" s="3256" t="s">
        <v>3494</v>
      </c>
      <c r="T19" s="2847">
        <f>'数据-汇总表'!F19</f>
        <v>45126.799999999996</v>
      </c>
      <c r="U19" s="3263">
        <v>10</v>
      </c>
      <c r="V19" s="2847">
        <f>U19*(1-W6)*365*T19/10000</f>
        <v>14824.1538</v>
      </c>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1653</v>
      </c>
      <c r="B20" s="109">
        <v>3</v>
      </c>
      <c r="C20" s="2978" t="s">
        <v>2788</v>
      </c>
      <c r="D20" s="2852"/>
      <c r="E20" s="2849"/>
      <c r="F20" s="2849"/>
      <c r="G20" s="2849"/>
      <c r="H20" s="2849"/>
      <c r="I20" s="2849"/>
      <c r="J20" s="2849"/>
      <c r="K20" s="2848"/>
      <c r="L20" s="2848"/>
      <c r="M20" s="2847"/>
      <c r="N20" s="2847"/>
      <c r="O20" s="2847"/>
      <c r="P20" s="2847"/>
      <c r="Q20" s="2847"/>
      <c r="R20" s="2847"/>
      <c r="S20" s="3256" t="s">
        <v>3495</v>
      </c>
      <c r="T20" s="2847">
        <f>'数据-汇总表'!G19</f>
        <v>13173.5</v>
      </c>
      <c r="U20" s="2847">
        <f>ROUND(2000*150*12/T20/365,2)</f>
        <v>0.75</v>
      </c>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1654</v>
      </c>
      <c r="B21" s="109">
        <f>B20</f>
        <v>3</v>
      </c>
      <c r="C21" s="2849"/>
      <c r="D21" s="2852"/>
      <c r="E21" s="2849"/>
      <c r="F21" s="2849"/>
      <c r="G21" s="2849"/>
      <c r="H21" s="2849"/>
      <c r="I21" s="2849"/>
      <c r="J21" s="2849"/>
      <c r="K21" s="2848"/>
      <c r="L21" s="2848"/>
      <c r="M21" s="2847"/>
      <c r="N21" s="2847"/>
      <c r="O21" s="2847"/>
      <c r="P21" s="2847"/>
      <c r="Q21" s="2847"/>
      <c r="R21" s="2847"/>
      <c r="S21" s="2847"/>
      <c r="T21" s="2847">
        <f>T19+T20</f>
        <v>58300.299999999996</v>
      </c>
      <c r="U21" s="2847">
        <f>ROUND((U19*T19+U20*T20)/T21,2)</f>
        <v>7.91</v>
      </c>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1655</v>
      </c>
      <c r="B22" s="110">
        <f>B19+B20</f>
        <v>3</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1656</v>
      </c>
      <c r="B23" s="110">
        <f>B19+B21</f>
        <v>3</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1657</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1658</v>
      </c>
      <c r="B26" s="1863" t="s">
        <v>1659</v>
      </c>
      <c r="C26" s="2853" t="s">
        <v>1660</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1661</v>
      </c>
      <c r="B27" s="112">
        <v>160</v>
      </c>
      <c r="C27" s="2979" t="s">
        <v>2792</v>
      </c>
      <c r="D27" s="2855"/>
      <c r="E27" s="2835"/>
      <c r="F27" s="2835"/>
      <c r="G27" s="2849"/>
      <c r="H27" s="2849"/>
      <c r="I27" s="2849"/>
      <c r="J27" s="2849"/>
      <c r="K27" s="2848"/>
      <c r="L27" s="2848"/>
      <c r="M27" s="2847"/>
      <c r="N27" s="2847"/>
      <c r="O27" s="2847"/>
      <c r="P27" s="2847"/>
      <c r="Q27" s="2847"/>
      <c r="R27" s="2847"/>
      <c r="S27" s="2847"/>
      <c r="T27" s="2847"/>
      <c r="U27" s="2847"/>
      <c r="V27" s="3262"/>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1662</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1663</v>
      </c>
      <c r="B29" s="117">
        <f ca="1">成本法!C10</f>
        <v>1166</v>
      </c>
      <c r="C29" s="2980" t="s">
        <v>2779</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1664</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1665</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1666</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1667</v>
      </c>
      <c r="B33" s="682">
        <v>0.05</v>
      </c>
      <c r="C33" s="2981" t="s">
        <v>2780</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1668</v>
      </c>
      <c r="B34" s="118">
        <v>0</v>
      </c>
      <c r="C34" s="2981" t="s">
        <v>2781</v>
      </c>
      <c r="D34" s="2860" t="s">
        <v>2789</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1669</v>
      </c>
      <c r="B35" s="115">
        <v>200</v>
      </c>
      <c r="C35" s="2981" t="s">
        <v>2782</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1670</v>
      </c>
      <c r="B36" s="119">
        <v>1.4999999999999999E-2</v>
      </c>
      <c r="C36" s="2981" t="s">
        <v>2783</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1671</v>
      </c>
      <c r="B37" s="120">
        <v>0.03</v>
      </c>
      <c r="C37" s="2981" t="s">
        <v>2784</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1672</v>
      </c>
      <c r="B38" s="118">
        <v>0.03</v>
      </c>
      <c r="C38" s="2981" t="s">
        <v>2784</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1673</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3459</v>
      </c>
      <c r="B40" s="1191">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1674</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1675</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1676</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1677</v>
      </c>
      <c r="B44" s="124">
        <v>7.0000000000000007E-2</v>
      </c>
      <c r="C44" s="2981" t="s">
        <v>2793</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1678</v>
      </c>
      <c r="B45" s="122">
        <v>0.03</v>
      </c>
      <c r="C45" s="2980" t="s">
        <v>2785</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1679</v>
      </c>
      <c r="B46" s="122">
        <v>0.02</v>
      </c>
      <c r="C46" s="2980" t="s">
        <v>2786</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1680</v>
      </c>
      <c r="B47" s="125"/>
      <c r="C47" s="2983" t="s">
        <v>2794</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1681</v>
      </c>
      <c r="B48" s="126">
        <v>0.03</v>
      </c>
      <c r="C48" s="2980" t="s">
        <v>2785</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1682</v>
      </c>
      <c r="B49" s="122">
        <v>5.0000000000000001E-4</v>
      </c>
      <c r="C49" s="2980" t="s">
        <v>2787</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1683</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1684</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1685</v>
      </c>
      <c r="B52" s="129">
        <f>SUMIF(A54:A63,B53,B54:B63)</f>
        <v>30</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1686</v>
      </c>
      <c r="B53" s="1875" t="s">
        <v>211</v>
      </c>
      <c r="C53" s="2835" t="s">
        <v>1687</v>
      </c>
      <c r="D53" s="2982" t="s">
        <v>2791</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1688</v>
      </c>
      <c r="B54" s="80">
        <v>30</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1689</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1690</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1691</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1692</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1693</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1694</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1695</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1696</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1697</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2" customFormat="1" ht="18.75" thickBot="1">
      <c r="A1" s="3364" t="s">
        <v>2771</v>
      </c>
      <c r="B1" s="3365"/>
      <c r="C1" s="3365"/>
      <c r="D1" s="3365"/>
      <c r="E1" s="3365"/>
      <c r="F1" s="3365"/>
      <c r="G1" s="336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2768</v>
      </c>
      <c r="D2" s="2636"/>
      <c r="E2" s="2633"/>
      <c r="F2" s="2637"/>
      <c r="G2" s="2635" t="s">
        <v>2769</v>
      </c>
      <c r="H2" s="888"/>
      <c r="I2" s="888"/>
      <c r="J2" s="888"/>
      <c r="K2" s="888"/>
      <c r="L2" s="888"/>
      <c r="M2" s="888"/>
      <c r="N2" s="888"/>
      <c r="O2" s="888"/>
      <c r="P2" s="888"/>
      <c r="Q2" s="888"/>
      <c r="R2" s="888"/>
    </row>
    <row r="3" spans="1:29" ht="24">
      <c r="A3" s="2616" t="s">
        <v>2770</v>
      </c>
      <c r="B3" s="2638" t="s">
        <v>2746</v>
      </c>
      <c r="C3" s="2639"/>
      <c r="D3" s="2640"/>
      <c r="E3" s="2617" t="s">
        <v>2770</v>
      </c>
      <c r="F3" s="2641" t="s">
        <v>2747</v>
      </c>
      <c r="G3" s="2642"/>
      <c r="H3" s="888"/>
      <c r="I3" s="888"/>
      <c r="J3" s="888"/>
      <c r="K3" s="888"/>
      <c r="L3" s="888"/>
      <c r="M3" s="888"/>
      <c r="N3" s="888"/>
      <c r="O3" s="888"/>
      <c r="P3" s="888"/>
      <c r="Q3" s="888"/>
      <c r="R3" s="888"/>
    </row>
    <row r="4" spans="1:29">
      <c r="A4" s="2617"/>
      <c r="B4" s="329" t="s">
        <v>2748</v>
      </c>
      <c r="C4" s="3246" t="s">
        <v>3460</v>
      </c>
      <c r="D4" s="2640"/>
      <c r="E4" s="2643"/>
      <c r="F4" s="1508" t="s">
        <v>2749</v>
      </c>
      <c r="G4" s="2644"/>
      <c r="H4" s="888"/>
      <c r="I4" s="888"/>
      <c r="J4" s="888"/>
      <c r="K4" s="888"/>
      <c r="L4" s="888"/>
      <c r="M4" s="888"/>
      <c r="N4" s="888"/>
      <c r="O4" s="888"/>
      <c r="P4" s="888"/>
      <c r="Q4" s="888"/>
      <c r="R4" s="888"/>
    </row>
    <row r="5" spans="1:29">
      <c r="A5" s="2617"/>
      <c r="B5" s="329" t="s">
        <v>2750</v>
      </c>
      <c r="C5" s="3246" t="s">
        <v>3461</v>
      </c>
      <c r="D5" s="2640"/>
      <c r="E5" s="2643"/>
      <c r="F5" s="329" t="s">
        <v>2751</v>
      </c>
      <c r="G5" s="2644"/>
      <c r="H5" s="888"/>
      <c r="I5" s="888"/>
      <c r="J5" s="888"/>
      <c r="K5" s="888"/>
      <c r="L5" s="888"/>
      <c r="M5" s="888"/>
      <c r="N5" s="888"/>
      <c r="O5" s="888"/>
      <c r="P5" s="888"/>
      <c r="Q5" s="888"/>
      <c r="R5" s="888"/>
    </row>
    <row r="6" spans="1:29">
      <c r="A6" s="2617"/>
      <c r="B6" s="329" t="s">
        <v>2752</v>
      </c>
      <c r="C6" s="3247" t="s">
        <v>3460</v>
      </c>
      <c r="D6" s="2640"/>
      <c r="E6" s="2643"/>
      <c r="F6" s="329" t="s">
        <v>2753</v>
      </c>
      <c r="G6" s="2644"/>
      <c r="H6" s="888"/>
      <c r="I6" s="888"/>
      <c r="J6" s="888"/>
      <c r="K6" s="888"/>
      <c r="L6" s="888"/>
      <c r="M6" s="888"/>
      <c r="N6" s="888"/>
      <c r="O6" s="888"/>
      <c r="P6" s="888"/>
      <c r="Q6" s="888"/>
      <c r="R6" s="888"/>
    </row>
    <row r="7" spans="1:29" ht="15" thickBot="1">
      <c r="A7" s="2617"/>
      <c r="B7" s="329" t="s">
        <v>2751</v>
      </c>
      <c r="C7" s="3247" t="s">
        <v>3460</v>
      </c>
      <c r="D7" s="2645"/>
      <c r="E7" s="2646"/>
      <c r="F7" s="2647" t="s">
        <v>2754</v>
      </c>
      <c r="G7" s="2648"/>
      <c r="H7" s="888"/>
      <c r="I7" s="888"/>
      <c r="J7" s="888"/>
      <c r="K7" s="888"/>
      <c r="L7" s="888"/>
      <c r="M7" s="888"/>
      <c r="N7" s="888"/>
      <c r="O7" s="888"/>
      <c r="P7" s="888"/>
      <c r="Q7" s="888"/>
      <c r="R7" s="888"/>
    </row>
    <row r="8" spans="1:29">
      <c r="A8" s="2617"/>
      <c r="B8" s="329" t="s">
        <v>2753</v>
      </c>
      <c r="C8" s="3247" t="s">
        <v>3462</v>
      </c>
      <c r="D8" s="2645"/>
      <c r="E8" s="2645"/>
      <c r="F8" s="2649"/>
      <c r="G8" s="2649"/>
      <c r="H8" s="888"/>
      <c r="I8" s="888"/>
      <c r="J8" s="888"/>
      <c r="K8" s="888"/>
      <c r="L8" s="888"/>
      <c r="M8" s="888"/>
      <c r="N8" s="888"/>
      <c r="O8" s="888"/>
      <c r="P8" s="888"/>
      <c r="Q8" s="888"/>
      <c r="R8" s="888"/>
    </row>
    <row r="9" spans="1:29">
      <c r="A9" s="2617"/>
      <c r="B9" s="329" t="s">
        <v>2755</v>
      </c>
      <c r="C9" s="3246" t="s">
        <v>3460</v>
      </c>
      <c r="D9" s="2640"/>
      <c r="E9" s="2645"/>
      <c r="F9" s="2649"/>
      <c r="G9" s="2649"/>
      <c r="H9" s="888"/>
      <c r="I9" s="888"/>
      <c r="J9" s="888"/>
      <c r="K9" s="888"/>
      <c r="L9" s="888"/>
      <c r="M9" s="888"/>
      <c r="N9" s="888"/>
      <c r="O9" s="888"/>
      <c r="P9" s="888"/>
      <c r="Q9" s="888"/>
      <c r="R9" s="888"/>
    </row>
    <row r="10" spans="1:29" s="2654" customFormat="1" ht="15" thickBot="1">
      <c r="A10" s="2618"/>
      <c r="B10" s="2650" t="s">
        <v>2756</v>
      </c>
      <c r="C10" s="3248" t="s">
        <v>3463</v>
      </c>
      <c r="D10" s="2640"/>
      <c r="E10" s="2640"/>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40"/>
      <c r="D11" s="2640"/>
      <c r="E11" s="2640"/>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2" customFormat="1" ht="18">
      <c r="A12" s="2655"/>
      <c r="B12" s="2645"/>
      <c r="C12" s="2640"/>
      <c r="D12" s="2657"/>
      <c r="E12" s="2640"/>
      <c r="F12" s="2645"/>
      <c r="G12" s="2656"/>
      <c r="H12" s="2658"/>
      <c r="I12" s="2659"/>
      <c r="J12" s="2658"/>
      <c r="K12" s="2658"/>
      <c r="L12" s="2660"/>
      <c r="M12" s="2658"/>
      <c r="N12" s="2661"/>
      <c r="O12" s="2662"/>
      <c r="P12" s="2661"/>
      <c r="Q12" s="2661"/>
      <c r="R12" s="2630"/>
      <c r="S12" s="2631"/>
      <c r="T12" s="2631"/>
      <c r="U12" s="2631"/>
      <c r="V12" s="2631"/>
      <c r="W12" s="2631"/>
      <c r="X12" s="2631"/>
      <c r="Y12" s="2631"/>
      <c r="Z12" s="2631"/>
      <c r="AA12" s="2631"/>
      <c r="AB12" s="2631"/>
      <c r="AC12" s="2631"/>
    </row>
    <row r="13" spans="1:29" ht="15.75" thickBot="1">
      <c r="A13" s="2663" t="s">
        <v>2772</v>
      </c>
      <c r="B13" s="2657"/>
      <c r="C13" s="2657"/>
      <c r="D13" s="2655"/>
      <c r="E13" s="2657"/>
      <c r="F13" s="2657"/>
      <c r="G13" s="2657"/>
    </row>
    <row r="14" spans="1:29" ht="15" thickBot="1">
      <c r="A14" s="2667"/>
      <c r="B14" s="2667"/>
      <c r="C14" s="2668" t="s">
        <v>2757</v>
      </c>
      <c r="D14" s="2640"/>
      <c r="E14" s="2669"/>
      <c r="F14" s="2669"/>
      <c r="G14" s="2635" t="s">
        <v>2758</v>
      </c>
    </row>
    <row r="15" spans="1:29" ht="24">
      <c r="A15" s="2619" t="s">
        <v>2759</v>
      </c>
      <c r="B15" s="2670" t="s">
        <v>2746</v>
      </c>
      <c r="C15" s="2671">
        <f>C3</f>
        <v>0</v>
      </c>
      <c r="D15" s="2640"/>
      <c r="E15" s="2620" t="s">
        <v>2760</v>
      </c>
      <c r="F15" s="2670" t="s">
        <v>2761</v>
      </c>
      <c r="G15" s="2672">
        <f>G3</f>
        <v>0</v>
      </c>
    </row>
    <row r="16" spans="1:29">
      <c r="A16" s="2621"/>
      <c r="B16" s="2673" t="s">
        <v>2748</v>
      </c>
      <c r="C16" s="2674" t="str">
        <f>C4</f>
        <v>好</v>
      </c>
      <c r="D16" s="2640"/>
      <c r="E16" s="2622"/>
      <c r="F16" s="2675" t="s">
        <v>2749</v>
      </c>
      <c r="G16" s="2676">
        <f>G4</f>
        <v>0</v>
      </c>
    </row>
    <row r="17" spans="1:18">
      <c r="A17" s="2621"/>
      <c r="B17" s="2673" t="s">
        <v>2750</v>
      </c>
      <c r="C17" s="2674" t="str">
        <f>C5</f>
        <v>较好</v>
      </c>
      <c r="D17" s="2645"/>
      <c r="E17" s="2622"/>
      <c r="F17" s="2675" t="s">
        <v>2762</v>
      </c>
      <c r="G17" s="2677"/>
    </row>
    <row r="18" spans="1:18">
      <c r="A18" s="2621"/>
      <c r="B18" s="2675" t="s">
        <v>2752</v>
      </c>
      <c r="C18" s="2676" t="str">
        <f>C6</f>
        <v>好</v>
      </c>
      <c r="D18" s="2645"/>
      <c r="E18" s="2622"/>
      <c r="F18" s="2675" t="s">
        <v>2754</v>
      </c>
      <c r="G18" s="2676">
        <f>G7</f>
        <v>0</v>
      </c>
    </row>
    <row r="19" spans="1:18">
      <c r="A19" s="2621"/>
      <c r="B19" s="2675" t="s">
        <v>2763</v>
      </c>
      <c r="C19" s="2677"/>
      <c r="D19" s="2640"/>
      <c r="E19" s="2622"/>
      <c r="F19" s="329" t="s">
        <v>2751</v>
      </c>
      <c r="G19" s="2676">
        <f>G5</f>
        <v>0</v>
      </c>
    </row>
    <row r="20" spans="1:18">
      <c r="A20" s="2621"/>
      <c r="B20" s="2675" t="s">
        <v>2764</v>
      </c>
      <c r="C20" s="2674" t="str">
        <f>C9</f>
        <v>好</v>
      </c>
      <c r="D20" s="2645"/>
      <c r="E20" s="2622"/>
      <c r="F20" s="329" t="s">
        <v>2753</v>
      </c>
      <c r="G20" s="2676">
        <f>G6</f>
        <v>0</v>
      </c>
    </row>
    <row r="21" spans="1:18">
      <c r="A21" s="2621"/>
      <c r="B21" s="329" t="s">
        <v>2751</v>
      </c>
      <c r="C21" s="2676" t="str">
        <f>C7</f>
        <v>好</v>
      </c>
      <c r="D21" s="2640"/>
      <c r="E21" s="2622"/>
      <c r="F21" s="2675" t="s">
        <v>2765</v>
      </c>
      <c r="G21" s="2678"/>
    </row>
    <row r="22" spans="1:18" ht="13.5" customHeight="1">
      <c r="A22" s="2621"/>
      <c r="B22" s="329" t="s">
        <v>2753</v>
      </c>
      <c r="C22" s="2676" t="str">
        <f>C8</f>
        <v>七通</v>
      </c>
      <c r="D22" s="2640"/>
      <c r="E22" s="2622"/>
      <c r="F22" s="2675" t="s">
        <v>2756</v>
      </c>
      <c r="G22" s="2677"/>
    </row>
    <row r="23" spans="1:18" s="888" customFormat="1" ht="15" thickBot="1">
      <c r="A23" s="2621"/>
      <c r="B23" s="2675" t="s">
        <v>2765</v>
      </c>
      <c r="C23" s="2678"/>
      <c r="D23" s="1878"/>
      <c r="E23" s="2623"/>
      <c r="F23" s="2679" t="s">
        <v>2766</v>
      </c>
      <c r="G23" s="2680"/>
      <c r="H23" s="2664"/>
      <c r="I23" s="2665"/>
      <c r="J23" s="2664"/>
      <c r="K23" s="2664"/>
      <c r="L23" s="2665"/>
      <c r="M23" s="2664"/>
      <c r="N23" s="2664"/>
      <c r="O23" s="2665"/>
      <c r="P23" s="2664"/>
      <c r="Q23" s="2664"/>
      <c r="R23" s="2666"/>
    </row>
    <row r="24" spans="1:18" s="888" customFormat="1" ht="15" thickBot="1">
      <c r="A24" s="2624"/>
      <c r="B24" s="2679" t="s">
        <v>2767</v>
      </c>
      <c r="C24" s="2681" t="str">
        <f>C10</f>
        <v>支路</v>
      </c>
      <c r="D24" s="1878"/>
      <c r="E24" s="2614"/>
      <c r="F24" s="2614"/>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2" t="str">
        <f>项目基本情况!B1</f>
        <v>北京市房地产抵押价值预评估</v>
      </c>
      <c r="C37" s="3272"/>
      <c r="D37" s="3272"/>
      <c r="E37" s="3272"/>
      <c r="F37" s="3272"/>
      <c r="G37" s="3272"/>
      <c r="H37" s="3272"/>
      <c r="I37" s="327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C5" sqref="C5"/>
    </sheetView>
  </sheetViews>
  <sheetFormatPr defaultColWidth="9" defaultRowHeight="13.5"/>
  <cols>
    <col min="1" max="1" width="25" style="2686" customWidth="1"/>
    <col min="2" max="9" width="15.75" style="2686" customWidth="1"/>
    <col min="10" max="16384" width="9" style="2686"/>
  </cols>
  <sheetData>
    <row r="1" spans="1:11" ht="16.5">
      <c r="A1" s="2685" t="s">
        <v>1086</v>
      </c>
      <c r="B1" s="2685">
        <f>SUM(B14:B23)</f>
        <v>69552.39999999998</v>
      </c>
      <c r="C1" s="2862"/>
      <c r="D1" s="2862"/>
      <c r="E1" s="2862"/>
      <c r="F1" s="2862"/>
      <c r="G1" s="2863"/>
      <c r="H1" s="2864"/>
      <c r="I1" s="2864"/>
      <c r="J1" s="2864"/>
      <c r="K1" s="2864"/>
    </row>
    <row r="2" spans="1:11" ht="16.5">
      <c r="A2" s="2685" t="s">
        <v>1074</v>
      </c>
      <c r="B2" s="2685">
        <f>SUM(C14:C23)</f>
        <v>12892.84</v>
      </c>
      <c r="C2" s="2862"/>
      <c r="D2" s="2862"/>
      <c r="E2" s="2862"/>
      <c r="F2" s="2862"/>
      <c r="G2" s="2863"/>
      <c r="H2" s="2864"/>
      <c r="I2" s="2864"/>
      <c r="J2" s="2864"/>
      <c r="K2" s="2864"/>
    </row>
    <row r="3" spans="1:11" ht="16.5">
      <c r="A3" s="2685" t="s">
        <v>1083</v>
      </c>
      <c r="B3" s="2687">
        <f>项目基本情况!D3</f>
        <v>44742</v>
      </c>
      <c r="C3" s="2862"/>
      <c r="D3" s="2862"/>
      <c r="E3" s="2862"/>
      <c r="F3" s="2862"/>
      <c r="G3" s="2863"/>
      <c r="H3" s="2864"/>
      <c r="I3" s="2864"/>
      <c r="J3" s="2864"/>
      <c r="K3" s="2864"/>
    </row>
    <row r="4" spans="1:11" ht="33">
      <c r="A4" s="2685" t="s">
        <v>1082</v>
      </c>
      <c r="B4" s="2685" t="s">
        <v>1081</v>
      </c>
      <c r="C4" s="2685" t="s">
        <v>1080</v>
      </c>
      <c r="D4" s="2685" t="s">
        <v>1079</v>
      </c>
      <c r="E4" s="2862"/>
      <c r="F4" s="2863"/>
      <c r="G4" s="2863"/>
      <c r="H4" s="2864"/>
      <c r="I4" s="2864"/>
      <c r="J4" s="2864"/>
      <c r="K4" s="2864"/>
    </row>
    <row r="5" spans="1:11" ht="16.5">
      <c r="A5" s="2685" t="s">
        <v>1078</v>
      </c>
      <c r="B5" s="2685">
        <f ca="1">SUM(D14:D23)</f>
        <v>283355</v>
      </c>
      <c r="C5" s="2685">
        <f ca="1">ROUND(B5*10000/$B$1,0)</f>
        <v>40740</v>
      </c>
      <c r="D5" s="2685">
        <f ca="1">ROUND(B5*10000/$B$2,0)</f>
        <v>219777</v>
      </c>
      <c r="E5" s="2862"/>
      <c r="F5" s="2863"/>
      <c r="G5" s="2863"/>
      <c r="H5" s="2864"/>
      <c r="I5" s="2864"/>
      <c r="J5" s="2864"/>
      <c r="K5" s="2864"/>
    </row>
    <row r="6" spans="1:11" ht="16.5">
      <c r="A6" s="2685" t="s">
        <v>1077</v>
      </c>
      <c r="B6" s="2685">
        <f ca="1">SUM(G14:G23)</f>
        <v>283355</v>
      </c>
      <c r="C6" s="2685">
        <f ca="1">ROUND(B6*10000/$B$1,0)</f>
        <v>40740</v>
      </c>
      <c r="D6" s="2685">
        <f ca="1">ROUND(B6*10000/$B$2,0)</f>
        <v>219777</v>
      </c>
      <c r="E6" s="2862"/>
      <c r="F6" s="2863"/>
      <c r="G6" s="2863"/>
      <c r="H6" s="2864"/>
      <c r="I6" s="2864"/>
      <c r="J6" s="2864"/>
      <c r="K6" s="2864"/>
    </row>
    <row r="7" spans="1:11" ht="16.5">
      <c r="A7" s="2685" t="s">
        <v>1085</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1076</v>
      </c>
      <c r="B9" s="2693"/>
      <c r="C9" s="2862"/>
      <c r="D9" s="2862"/>
      <c r="E9" s="2862"/>
      <c r="F9" s="2863"/>
      <c r="G9" s="2863"/>
      <c r="H9" s="2864"/>
      <c r="I9" s="2864"/>
      <c r="J9" s="2864"/>
      <c r="K9" s="2864"/>
    </row>
    <row r="10" spans="1:11" ht="16.5">
      <c r="A10" s="2685" t="s">
        <v>1075</v>
      </c>
      <c r="B10" s="2693"/>
      <c r="C10" s="2862"/>
      <c r="D10" s="2862"/>
      <c r="E10" s="2862"/>
      <c r="F10" s="2863"/>
      <c r="G10" s="2863"/>
      <c r="H10" s="2864"/>
      <c r="I10" s="2864"/>
      <c r="J10" s="2864"/>
      <c r="K10" s="2864"/>
    </row>
    <row r="11" spans="1:11" ht="16.5">
      <c r="A11" s="2685" t="s">
        <v>1091</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1090</v>
      </c>
      <c r="B13" s="2689" t="s">
        <v>1087</v>
      </c>
      <c r="C13" s="2689" t="s">
        <v>1089</v>
      </c>
      <c r="D13" s="2689" t="s">
        <v>1088</v>
      </c>
      <c r="E13" s="2685" t="s">
        <v>1080</v>
      </c>
      <c r="F13" s="2685" t="s">
        <v>1079</v>
      </c>
      <c r="G13" s="2689" t="s">
        <v>1073</v>
      </c>
      <c r="H13" s="2689" t="s">
        <v>1084</v>
      </c>
      <c r="I13" s="2689" t="s">
        <v>1072</v>
      </c>
      <c r="J13" s="2863"/>
      <c r="K13" s="2864"/>
    </row>
    <row r="14" spans="1:11" ht="16.5">
      <c r="A14" s="2690" t="s">
        <v>3508</v>
      </c>
      <c r="B14" s="2691">
        <f>结果表!B118</f>
        <v>58300.299999999996</v>
      </c>
      <c r="C14" s="2691">
        <f>结果表!C118</f>
        <v>10807.05</v>
      </c>
      <c r="D14" s="2691">
        <f ca="1">结果表!H118</f>
        <v>238059</v>
      </c>
      <c r="E14" s="2691">
        <f ca="1">ROUND(D14*10000/B14,0)</f>
        <v>40833</v>
      </c>
      <c r="F14" s="2691">
        <f ca="1">ROUND(D14*10000/C14,0)</f>
        <v>220281</v>
      </c>
      <c r="G14" s="2691">
        <f ca="1">结果表!D122</f>
        <v>238059</v>
      </c>
      <c r="H14" s="2691" t="str">
        <f>结果表!D124</f>
        <v>——</v>
      </c>
      <c r="I14" s="2691" t="str">
        <f>结果表!D126</f>
        <v>——</v>
      </c>
      <c r="J14" s="2863"/>
      <c r="K14" s="2864"/>
    </row>
    <row r="15" spans="1:11" ht="16.5">
      <c r="A15" s="2690" t="s">
        <v>3530</v>
      </c>
      <c r="B15" s="2692">
        <f>[2]系统读取表!$B$14</f>
        <v>11252.099999999986</v>
      </c>
      <c r="C15" s="2692">
        <f>[2]系统读取表!$C$14</f>
        <v>2085.79</v>
      </c>
      <c r="D15" s="2692">
        <f ca="1">[2]系统读取表!$D$14</f>
        <v>45296</v>
      </c>
      <c r="E15" s="2691">
        <f t="shared" ref="E15:E23" ca="1" si="0">ROUND(D15*10000/B15,0)</f>
        <v>40256</v>
      </c>
      <c r="F15" s="2691">
        <f t="shared" ref="F15:F23" ca="1" si="1">ROUND(D15*10000/C15,0)</f>
        <v>217165</v>
      </c>
      <c r="G15" s="1452">
        <f ca="1">D15</f>
        <v>45296</v>
      </c>
      <c r="H15" s="1452"/>
      <c r="I15" s="2692"/>
      <c r="J15" s="2863"/>
      <c r="K15" s="2864"/>
    </row>
    <row r="16" spans="1:11" ht="16.5">
      <c r="A16" s="2690"/>
      <c r="B16" s="2692"/>
      <c r="C16" s="2692"/>
      <c r="D16" s="2692"/>
      <c r="E16" s="2691" t="e">
        <f t="shared" si="0"/>
        <v>#DIV/0!</v>
      </c>
      <c r="F16" s="2691" t="e">
        <f t="shared" si="1"/>
        <v>#DIV/0!</v>
      </c>
      <c r="G16" s="1452"/>
      <c r="H16" s="1452"/>
      <c r="I16" s="2692"/>
      <c r="J16" s="2864"/>
      <c r="K16" s="2864"/>
    </row>
    <row r="17" spans="1:11" ht="16.5">
      <c r="A17" s="2690"/>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row r="30" spans="1:11">
      <c r="B30" s="2686">
        <f>B14+B15</f>
        <v>69552.39999999998</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90" zoomScaleNormal="100" zoomScaleSheetLayoutView="90" zoomScalePageLayoutView="80" workbookViewId="0">
      <selection activeCell="G19" sqref="G1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1703</v>
      </c>
      <c r="B1" s="1884"/>
      <c r="C1" s="1885"/>
      <c r="D1" s="1884"/>
      <c r="E1" s="1884"/>
      <c r="F1" s="1886" t="s">
        <v>1704</v>
      </c>
      <c r="G1" s="1697" t="s">
        <v>3465</v>
      </c>
      <c r="H1" s="1887" t="str">
        <f>IF(G1="现房","——","估价对象范围")</f>
        <v>——</v>
      </c>
      <c r="I1" s="1888"/>
    </row>
    <row r="2" spans="1:12" ht="21.75" customHeight="1" thickBot="1">
      <c r="A2" s="3436" t="str">
        <f>项目基本情况!S2</f>
        <v>北京市房地产</v>
      </c>
      <c r="B2" s="3437"/>
      <c r="C2" s="3437"/>
      <c r="D2" s="3437"/>
      <c r="E2" s="3437"/>
      <c r="F2" s="3437"/>
      <c r="G2" s="3437"/>
      <c r="H2" s="3437"/>
      <c r="I2" s="3438"/>
    </row>
    <row r="3" spans="1:12" ht="12.75">
      <c r="A3" s="3440" t="s">
        <v>1705</v>
      </c>
      <c r="B3" s="3441"/>
      <c r="C3" s="3441"/>
      <c r="D3" s="3441"/>
      <c r="E3" s="3441"/>
      <c r="F3" s="3441"/>
      <c r="G3" s="3441"/>
      <c r="H3" s="3441"/>
      <c r="I3" s="3441"/>
    </row>
    <row r="4" spans="1:12" ht="14.25">
      <c r="A4" s="1891" t="s">
        <v>1706</v>
      </c>
      <c r="B4" s="1892" t="s">
        <v>1707</v>
      </c>
      <c r="C4" s="1893" t="s">
        <v>3464</v>
      </c>
      <c r="D4" s="1893" t="s">
        <v>3458</v>
      </c>
      <c r="E4" s="3445" t="s">
        <v>1708</v>
      </c>
      <c r="F4" s="3446"/>
      <c r="G4" s="3446"/>
      <c r="H4" s="3446"/>
      <c r="I4" s="34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1" t="s">
        <v>1709</v>
      </c>
      <c r="B5" s="3439">
        <v>25</v>
      </c>
      <c r="C5" s="3442"/>
      <c r="D5" s="3430"/>
      <c r="E5" s="136" t="s">
        <v>1710</v>
      </c>
      <c r="F5" s="1894"/>
      <c r="G5" s="1894"/>
      <c r="H5" s="1894"/>
      <c r="I5" s="1508"/>
    </row>
    <row r="6" spans="1:12" ht="12.75">
      <c r="A6" s="3381"/>
      <c r="B6" s="3439"/>
      <c r="C6" s="3444"/>
      <c r="D6" s="3430"/>
      <c r="E6" s="136" t="s">
        <v>1711</v>
      </c>
      <c r="F6" s="1894"/>
      <c r="G6" s="1894"/>
      <c r="H6" s="1894"/>
      <c r="I6" s="1508"/>
    </row>
    <row r="7" spans="1:12" ht="12.75">
      <c r="A7" s="3381"/>
      <c r="B7" s="3439"/>
      <c r="C7" s="3443"/>
      <c r="D7" s="3430"/>
      <c r="E7" s="136" t="s">
        <v>1712</v>
      </c>
      <c r="F7" s="1894"/>
      <c r="G7" s="1894"/>
      <c r="H7" s="1894"/>
      <c r="I7" s="1508"/>
    </row>
    <row r="8" spans="1:12" ht="12.75">
      <c r="A8" s="3381" t="s">
        <v>1713</v>
      </c>
      <c r="B8" s="3439">
        <v>15</v>
      </c>
      <c r="C8" s="3442"/>
      <c r="D8" s="3430"/>
      <c r="E8" s="136" t="s">
        <v>1714</v>
      </c>
      <c r="F8" s="1894"/>
      <c r="G8" s="1894"/>
      <c r="H8" s="1894"/>
      <c r="I8" s="1508"/>
    </row>
    <row r="9" spans="1:12" ht="12.75">
      <c r="A9" s="3381"/>
      <c r="B9" s="3439"/>
      <c r="C9" s="3443"/>
      <c r="D9" s="3430"/>
      <c r="E9" s="136" t="s">
        <v>1715</v>
      </c>
      <c r="F9" s="1894"/>
      <c r="G9" s="1894"/>
      <c r="H9" s="1894"/>
      <c r="I9" s="1508"/>
    </row>
    <row r="10" spans="1:12" ht="12.75">
      <c r="A10" s="3381" t="s">
        <v>1716</v>
      </c>
      <c r="B10" s="3439">
        <v>15</v>
      </c>
      <c r="C10" s="3442"/>
      <c r="D10" s="3430"/>
      <c r="E10" s="136" t="s">
        <v>1717</v>
      </c>
      <c r="F10" s="1894"/>
      <c r="G10" s="1894"/>
      <c r="H10" s="1894"/>
      <c r="I10" s="1508"/>
    </row>
    <row r="11" spans="1:12" ht="12.75">
      <c r="A11" s="3381"/>
      <c r="B11" s="3439"/>
      <c r="C11" s="3443"/>
      <c r="D11" s="3430"/>
      <c r="E11" s="136" t="s">
        <v>1718</v>
      </c>
      <c r="F11" s="1894"/>
      <c r="G11" s="1894"/>
      <c r="H11" s="1894"/>
      <c r="I11" s="1508"/>
    </row>
    <row r="12" spans="1:12" ht="12.75">
      <c r="A12" s="3381" t="s">
        <v>1719</v>
      </c>
      <c r="B12" s="3439">
        <v>15</v>
      </c>
      <c r="C12" s="3442"/>
      <c r="D12" s="3430"/>
      <c r="E12" s="136" t="s">
        <v>1720</v>
      </c>
      <c r="F12" s="1894"/>
      <c r="G12" s="1894"/>
      <c r="H12" s="1894"/>
      <c r="I12" s="1508"/>
    </row>
    <row r="13" spans="1:12" ht="12.75">
      <c r="A13" s="3381"/>
      <c r="B13" s="3439"/>
      <c r="C13" s="3443"/>
      <c r="D13" s="3430"/>
      <c r="E13" s="136" t="s">
        <v>1721</v>
      </c>
      <c r="F13" s="1894"/>
      <c r="G13" s="1894"/>
      <c r="H13" s="1894"/>
      <c r="I13" s="1508"/>
    </row>
    <row r="14" spans="1:12" ht="12.75">
      <c r="A14" s="3381" t="s">
        <v>1722</v>
      </c>
      <c r="B14" s="3439">
        <v>30</v>
      </c>
      <c r="C14" s="3442">
        <v>5</v>
      </c>
      <c r="D14" s="3430">
        <f>10-C14</f>
        <v>5</v>
      </c>
      <c r="E14" s="136" t="s">
        <v>1723</v>
      </c>
      <c r="F14" s="1894"/>
      <c r="G14" s="1894"/>
      <c r="H14" s="1894"/>
      <c r="I14" s="1508"/>
    </row>
    <row r="15" spans="1:12" ht="12.75">
      <c r="A15" s="3381"/>
      <c r="B15" s="3439"/>
      <c r="C15" s="3444"/>
      <c r="D15" s="3430"/>
      <c r="E15" s="136" t="s">
        <v>1724</v>
      </c>
      <c r="F15" s="1894"/>
      <c r="G15" s="1894"/>
      <c r="H15" s="1894"/>
      <c r="I15" s="1508"/>
    </row>
    <row r="16" spans="1:12" ht="12.75">
      <c r="A16" s="3381"/>
      <c r="B16" s="3439"/>
      <c r="C16" s="3443"/>
      <c r="D16" s="3430"/>
      <c r="E16" s="136" t="s">
        <v>1725</v>
      </c>
      <c r="F16" s="1894"/>
      <c r="G16" s="1894"/>
      <c r="H16" s="1894"/>
      <c r="I16" s="1508"/>
    </row>
    <row r="17" spans="1:36" ht="15">
      <c r="A17" s="1895" t="s">
        <v>1726</v>
      </c>
      <c r="B17" s="60"/>
      <c r="C17" s="137">
        <f>SUM(C5:C16)</f>
        <v>5</v>
      </c>
      <c r="D17" s="137">
        <f>SUM(D5:D16)</f>
        <v>5</v>
      </c>
      <c r="E17" s="134"/>
      <c r="F17" s="134"/>
      <c r="G17" s="134"/>
      <c r="H17" s="134"/>
      <c r="I17" s="134"/>
      <c r="K17" s="308"/>
      <c r="L17" s="308" t="s">
        <v>1727</v>
      </c>
      <c r="M17" s="308" t="s">
        <v>1728</v>
      </c>
    </row>
    <row r="18" spans="1:36" ht="31.9" customHeight="1" thickBot="1">
      <c r="A18" s="1896" t="s">
        <v>1729</v>
      </c>
      <c r="B18" s="1897"/>
      <c r="C18" s="138">
        <f>ROUND(C17/SUM(C17:D17),2)</f>
        <v>0.5</v>
      </c>
      <c r="D18" s="138">
        <f>1-C18</f>
        <v>0.5</v>
      </c>
      <c r="E18" s="3461" t="s">
        <v>2627</v>
      </c>
      <c r="F18" s="3462"/>
      <c r="G18" s="3462"/>
      <c r="H18" s="3462"/>
      <c r="I18" s="3462"/>
      <c r="K18" s="308" t="s">
        <v>1730</v>
      </c>
      <c r="L18" s="308">
        <f>IF(C1="",'数据-汇总表'!E3,SUMIF(项目类型,C1,'数据-汇总表'!E17:E26)+SUMIF(项目类型,C1,'数据-汇总表'!I17:I26))</f>
        <v>58300.299999999996</v>
      </c>
      <c r="M18" s="308">
        <f>IF(C1="",'数据-汇总表'!E3,SUMIF(项目类型,C1,'数据-汇总表'!E17:E26))</f>
        <v>58300.299999999996</v>
      </c>
    </row>
    <row r="19" spans="1:36" ht="15">
      <c r="A19" s="1898" t="s">
        <v>1731</v>
      </c>
      <c r="B19" s="1899" t="s">
        <v>1732</v>
      </c>
      <c r="C19" s="139">
        <f ca="1">SUMIF(INDIRECT("'"&amp;C4&amp;"'"&amp;"!A:A"),结果表!B19,INDIRECT("'"&amp;C4&amp;"'"&amp;"!B:B"))</f>
        <v>305446</v>
      </c>
      <c r="D19" s="140">
        <f ca="1">SUMIF(INDIRECT("'"&amp;D4&amp;"'"&amp;"!A:A"),结果表!B19,INDIRECT("'"&amp;D4&amp;"'"&amp;"!B:B"))</f>
        <v>170672</v>
      </c>
      <c r="E19" s="1898" t="s">
        <v>1733</v>
      </c>
      <c r="F19" s="1899" t="s">
        <v>1732</v>
      </c>
      <c r="G19" s="141">
        <f ca="1">ROUND(C19*$C$18+D19*$D$18,0)</f>
        <v>238059</v>
      </c>
      <c r="H19" s="1900" t="s">
        <v>1734</v>
      </c>
      <c r="I19" s="134"/>
      <c r="K19" s="308" t="s">
        <v>1735</v>
      </c>
      <c r="L19" s="308">
        <f>IF(C1="",'数据-汇总表'!D3,SUMIF(项目类型,C1,'数据-汇总表'!D17:D26)+SUMIF(项目类型,C1,'数据-汇总表'!H17:H27))</f>
        <v>10807.05</v>
      </c>
      <c r="M19" s="308">
        <f>IF(C1="",'数据-汇总表'!D3,SUMIF(项目类型,C1,'数据-汇总表'!D17:D26))</f>
        <v>10807.05</v>
      </c>
    </row>
    <row r="20" spans="1:36" ht="15">
      <c r="A20" s="1901"/>
      <c r="B20" s="1138" t="s">
        <v>1736</v>
      </c>
      <c r="C20" s="142">
        <f ca="1">SUMIF(INDIRECT("'"&amp;C4&amp;"'"&amp;"!A:A"),结果表!B20,INDIRECT("'"&amp;C4&amp;"'"&amp;"!B:B"))</f>
        <v>52392</v>
      </c>
      <c r="D20" s="143">
        <f ca="1">SUMIF(INDIRECT("'"&amp;D4&amp;"'"&amp;"!A:A"),结果表!B20,INDIRECT("'"&amp;D4&amp;"'"&amp;"!B:B"))</f>
        <v>29275</v>
      </c>
      <c r="E20" s="1901"/>
      <c r="F20" s="1138" t="s">
        <v>1736</v>
      </c>
      <c r="G20" s="144">
        <f ca="1">ROUND(C20*$C$18+D20*$D$18,0)</f>
        <v>40834</v>
      </c>
      <c r="H20" s="898" t="s">
        <v>1737</v>
      </c>
      <c r="I20" s="134"/>
    </row>
    <row r="21" spans="1:36" ht="15" customHeight="1" thickBot="1">
      <c r="A21" s="918"/>
      <c r="B21" s="1902" t="s">
        <v>1738</v>
      </c>
      <c r="C21" s="728">
        <f ca="1">ROUND(C19*10000/L19,0)</f>
        <v>282636</v>
      </c>
      <c r="D21" s="729">
        <f ca="1">ROUND(D19*10000/L19,0)</f>
        <v>157927</v>
      </c>
      <c r="E21" s="918"/>
      <c r="F21" s="1902" t="s">
        <v>1738</v>
      </c>
      <c r="G21" s="145">
        <f ca="1">ROUND(G19*10000/L19,0)</f>
        <v>220281</v>
      </c>
      <c r="H21" s="1903" t="s">
        <v>1737</v>
      </c>
      <c r="I21" s="134"/>
    </row>
    <row r="22" spans="1:36" ht="15" thickBot="1">
      <c r="A22" s="1825" t="s">
        <v>1739</v>
      </c>
      <c r="B22" s="1904"/>
      <c r="C22" s="1905"/>
      <c r="D22" s="730">
        <f ca="1">IF(C19&lt;D19,D19/C19-1,C19/D19-1)</f>
        <v>0.7896667291647137</v>
      </c>
      <c r="E22" s="134"/>
      <c r="F22" s="134"/>
      <c r="G22" s="134"/>
      <c r="H22" s="134"/>
      <c r="I22" s="134"/>
    </row>
    <row r="23" spans="1:36" ht="13.5" thickBot="1">
      <c r="A23" s="1884"/>
      <c r="B23" s="1884"/>
      <c r="C23" s="1884"/>
      <c r="D23" s="1884"/>
      <c r="E23" s="134"/>
      <c r="F23" s="134" t="s">
        <v>3504</v>
      </c>
      <c r="G23" s="134" t="s">
        <v>3503</v>
      </c>
      <c r="H23" s="134"/>
      <c r="I23" s="134"/>
    </row>
    <row r="24" spans="1:36" ht="14.25">
      <c r="A24" s="3454" t="s">
        <v>1740</v>
      </c>
      <c r="B24" s="1899" t="s">
        <v>1732</v>
      </c>
      <c r="C24" s="141">
        <f>IF(B30=0,0,D30)</f>
        <v>0</v>
      </c>
      <c r="D24" s="1906"/>
      <c r="E24" s="134"/>
      <c r="F24" s="3259" t="s">
        <v>3507</v>
      </c>
      <c r="G24" s="134">
        <f ca="1">(G19-'数据-汇总表'!G19)/'数据-汇总表'!F19*10000</f>
        <v>49834.134040082623</v>
      </c>
      <c r="H24" s="134"/>
      <c r="I24" s="134"/>
    </row>
    <row r="25" spans="1:36" ht="14.25">
      <c r="A25" s="3455"/>
      <c r="B25" s="1138" t="s">
        <v>1736</v>
      </c>
      <c r="C25" s="146">
        <f>IF(B30=0,0,C30)</f>
        <v>0</v>
      </c>
      <c r="D25" s="1907"/>
      <c r="E25" s="134"/>
      <c r="F25" s="134" t="s">
        <v>3509</v>
      </c>
      <c r="G25" s="134" t="s">
        <v>3511</v>
      </c>
      <c r="H25" s="134"/>
      <c r="I25" s="134"/>
    </row>
    <row r="26" spans="1:36" ht="13.5" customHeight="1">
      <c r="A26" s="1908" t="s">
        <v>1741</v>
      </c>
      <c r="B26" s="147" t="s">
        <v>1742</v>
      </c>
      <c r="C26" s="147" t="s">
        <v>1743</v>
      </c>
      <c r="D26" s="148" t="s">
        <v>1744</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1745</v>
      </c>
      <c r="B30" s="147"/>
      <c r="C30" s="147"/>
      <c r="D30" s="147"/>
      <c r="E30" s="2471" t="s">
        <v>2628</v>
      </c>
      <c r="F30" s="134"/>
      <c r="G30" s="134"/>
      <c r="H30" s="134"/>
      <c r="I30" s="134"/>
    </row>
    <row r="31" spans="1:36" s="2477" customFormat="1" ht="26.45" customHeight="1" thickTop="1" thickBot="1">
      <c r="A31" s="2472"/>
      <c r="B31" s="2473"/>
      <c r="C31" s="2473"/>
      <c r="D31" s="2473"/>
      <c r="E31" s="2473"/>
      <c r="F31" s="2473"/>
      <c r="G31" s="2473"/>
      <c r="H31" s="2473"/>
      <c r="I31" s="2474" t="s">
        <v>2629</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1746</v>
      </c>
      <c r="B32" s="1911"/>
      <c r="C32" s="149">
        <f ca="1">IF(D32="总价",G19-C24,G20-C25)</f>
        <v>238059</v>
      </c>
      <c r="D32" s="1912" t="s">
        <v>3472</v>
      </c>
      <c r="E32" s="134"/>
      <c r="F32" s="134"/>
      <c r="G32" s="134"/>
      <c r="H32" s="134"/>
      <c r="I32" s="134"/>
    </row>
    <row r="33" spans="1:15" ht="15">
      <c r="A33" s="875" t="s">
        <v>1747</v>
      </c>
      <c r="B33" s="1913"/>
      <c r="C33" s="1914" t="s">
        <v>3473</v>
      </c>
      <c r="D33" s="1915" t="s">
        <v>3464</v>
      </c>
      <c r="E33" s="1916" t="s">
        <v>1748</v>
      </c>
      <c r="F33" s="1917" t="str">
        <f>IF(D32="楼面单价","取值（单价）","取值（总价）")</f>
        <v>取值（总价）</v>
      </c>
      <c r="G33" s="134"/>
      <c r="H33" s="134"/>
      <c r="I33" s="134"/>
    </row>
    <row r="34" spans="1:15" ht="15">
      <c r="A34" s="1918"/>
      <c r="B34" s="1919" t="s">
        <v>1749</v>
      </c>
      <c r="C34" s="153">
        <f ca="1">IF(C33="自定义",F34,C32-C35)</f>
        <v>198541</v>
      </c>
      <c r="D34" s="951">
        <f ca="1">IF(C33="自定义",ROUND(C34/C32,3),IF(C33="收益比率",SUMIF(INDIRECT("'"&amp;D33&amp;"'"&amp;"!b:b"),"土地收益比率",INDIRECT("'"&amp;D33&amp;"'"&amp;"!c:c")),SUMIF(INDIRECT("'"&amp;D33&amp;"'"&amp;"!b:b"),"土地成本比率",INDIRECT("'"&amp;D33&amp;"'"&amp;"!c:c"))))</f>
        <v>0.83399999999999996</v>
      </c>
      <c r="E34" s="1920" t="s">
        <v>1750</v>
      </c>
      <c r="F34" s="1451"/>
      <c r="G34" s="134"/>
      <c r="H34" s="134"/>
      <c r="I34" s="134"/>
    </row>
    <row r="35" spans="1:15" ht="15.75" thickBot="1">
      <c r="A35" s="1921"/>
      <c r="B35" s="1922" t="s">
        <v>1751</v>
      </c>
      <c r="C35" s="1285">
        <f ca="1">IF(C33="自定义",F35,ROUND(C32*D35,0))</f>
        <v>39518</v>
      </c>
      <c r="D35" s="1286">
        <f ca="1">IF(C33="自定义",ROUND(C35/C32,3),IF(C33="收益比率",SUMIF(INDIRECT("'"&amp;D33&amp;"'"&amp;"!b:b"),"建筑物收益比率",INDIRECT("'"&amp;D33&amp;"'"&amp;"!c:c")),SUMIF(INDIRECT("'"&amp;D33&amp;"'"&amp;"!b:b"),"建筑物成本比率",INDIRECT("'"&amp;D33&amp;"'"&amp;"!c:c"))))</f>
        <v>0.16600000000000001</v>
      </c>
      <c r="E35" s="1923" t="s">
        <v>1752</v>
      </c>
      <c r="F35" s="159"/>
      <c r="G35" s="134"/>
      <c r="H35" s="134"/>
      <c r="I35" s="134"/>
    </row>
    <row r="36" spans="1:15" ht="15.75" thickBot="1">
      <c r="A36" s="3431" t="s">
        <v>1753</v>
      </c>
      <c r="B36" s="1924" t="s">
        <v>1754</v>
      </c>
      <c r="C36" s="150"/>
      <c r="D36" s="1925"/>
      <c r="E36" s="1926"/>
      <c r="F36" s="1927"/>
      <c r="G36" s="134"/>
      <c r="H36" s="134"/>
      <c r="I36" s="134"/>
    </row>
    <row r="37" spans="1:15" ht="15.75" thickBot="1">
      <c r="A37" s="3432"/>
      <c r="B37" s="1811" t="s">
        <v>1755</v>
      </c>
      <c r="C37" s="152"/>
      <c r="D37" s="1254"/>
      <c r="E37" s="1254"/>
      <c r="F37" s="1927"/>
      <c r="G37" s="134"/>
      <c r="H37" s="134"/>
      <c r="I37" s="134"/>
    </row>
    <row r="38" spans="1:15" ht="15.75" thickBot="1">
      <c r="A38" s="3433"/>
      <c r="B38" s="1928" t="s">
        <v>1756</v>
      </c>
      <c r="C38" s="683"/>
      <c r="D38" s="1929" t="s">
        <v>1757</v>
      </c>
      <c r="E38" s="1254"/>
      <c r="F38" s="1927"/>
      <c r="G38" s="134"/>
      <c r="H38" s="134"/>
      <c r="I38" s="134"/>
    </row>
    <row r="39" spans="1:15" ht="15">
      <c r="A39" s="1901" t="s">
        <v>1758</v>
      </c>
      <c r="B39" s="1930" t="s">
        <v>1759</v>
      </c>
      <c r="C39" s="1931" t="s">
        <v>1760</v>
      </c>
      <c r="D39" s="1931" t="s">
        <v>1761</v>
      </c>
      <c r="E39" s="1932" t="s">
        <v>1762</v>
      </c>
      <c r="F39" s="1927"/>
      <c r="G39" s="134"/>
      <c r="H39" s="134"/>
      <c r="I39" s="134"/>
    </row>
    <row r="40" spans="1:15" ht="14.25">
      <c r="A40" s="1933" t="s">
        <v>1763</v>
      </c>
      <c r="B40" s="154"/>
      <c r="C40" s="155"/>
      <c r="D40" s="155"/>
      <c r="E40" s="156"/>
      <c r="F40" s="1927"/>
      <c r="G40" s="134"/>
      <c r="H40" s="134"/>
      <c r="I40" s="134"/>
    </row>
    <row r="41" spans="1:15" ht="14.25">
      <c r="A41" s="1933" t="s">
        <v>1764</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1765</v>
      </c>
      <c r="B44" s="1938"/>
      <c r="C44" s="1938"/>
      <c r="D44" s="1939"/>
      <c r="E44" s="1939"/>
      <c r="F44" s="1940"/>
      <c r="G44" s="1940"/>
      <c r="H44" s="1940"/>
      <c r="I44" s="1940"/>
      <c r="J44" s="1941" t="s">
        <v>1766</v>
      </c>
      <c r="K44" s="1942"/>
      <c r="L44" s="1942"/>
      <c r="M44" s="1942"/>
      <c r="N44" s="1942"/>
      <c r="O44" s="1942"/>
    </row>
    <row r="45" spans="1:15" ht="14.25" customHeight="1" thickBot="1">
      <c r="A45" s="3451" t="s">
        <v>1767</v>
      </c>
      <c r="B45" s="3452"/>
      <c r="C45" s="3453"/>
      <c r="D45" s="160">
        <f ca="1">ROUND(H101*F45,0)</f>
        <v>238059</v>
      </c>
      <c r="E45" s="161" t="s">
        <v>1768</v>
      </c>
      <c r="F45" s="162">
        <v>1</v>
      </c>
      <c r="G45" s="163" t="s">
        <v>1769</v>
      </c>
      <c r="H45" s="134"/>
      <c r="I45" s="134"/>
      <c r="J45" s="3368" t="s">
        <v>1770</v>
      </c>
      <c r="K45" s="3368"/>
      <c r="L45" s="3368"/>
      <c r="M45" s="3368"/>
      <c r="N45" s="3368"/>
      <c r="O45" s="3368"/>
    </row>
    <row r="46" spans="1:15" ht="14.25" customHeight="1">
      <c r="A46" s="3448" t="s">
        <v>1771</v>
      </c>
      <c r="B46" s="3449"/>
      <c r="C46" s="3449"/>
      <c r="D46" s="3449"/>
      <c r="E46" s="3449"/>
      <c r="F46" s="3449"/>
      <c r="G46" s="3450"/>
      <c r="H46" s="1943"/>
      <c r="I46" s="164"/>
      <c r="J46" s="2696">
        <v>1</v>
      </c>
      <c r="K46" s="3369" t="s">
        <v>1772</v>
      </c>
      <c r="L46" s="3369"/>
      <c r="M46" s="3370"/>
      <c r="N46" s="3370"/>
      <c r="O46" s="3370"/>
    </row>
    <row r="47" spans="1:15" ht="12" customHeight="1">
      <c r="A47" s="165" t="s">
        <v>1773</v>
      </c>
      <c r="B47" s="166"/>
      <c r="C47" s="167"/>
      <c r="D47" s="1200" t="s">
        <v>1774</v>
      </c>
      <c r="E47" s="308" t="s">
        <v>1775</v>
      </c>
      <c r="F47" s="168" t="s">
        <v>1776</v>
      </c>
      <c r="G47" s="2719" t="s">
        <v>1777</v>
      </c>
      <c r="H47" s="2720"/>
      <c r="I47" s="164"/>
      <c r="J47" s="2696">
        <v>2</v>
      </c>
      <c r="K47" s="3369" t="s">
        <v>1778</v>
      </c>
      <c r="L47" s="3369"/>
      <c r="M47" s="3371">
        <f>'数据-取费表'!B2</f>
        <v>44742</v>
      </c>
      <c r="N47" s="3371"/>
      <c r="O47" s="3371"/>
    </row>
    <row r="48" spans="1:15" ht="25.5">
      <c r="A48" s="3434" t="s">
        <v>1779</v>
      </c>
      <c r="B48" s="3435"/>
      <c r="C48" s="3435"/>
      <c r="D48" s="2497" t="b">
        <f>IF(H48="情况1",0,IF(H48="情况2",D52,IF(H48="情况3",D53,IF(H48="情况4",D54))))</f>
        <v>0</v>
      </c>
      <c r="E48" s="2507" t="str">
        <f>IF(H48="情况4","(销售额-原购置价)×税（费）率","销售额×税（费）率")</f>
        <v>销售额×税（费）率</v>
      </c>
      <c r="F48" s="2721">
        <f>IF(H48="情况1","免征",'数据-取费表'!B41)</f>
        <v>5.6000000000000001E-2</v>
      </c>
      <c r="G48" s="2722" t="s">
        <v>1780</v>
      </c>
      <c r="H48" s="2723"/>
      <c r="I48" s="1943"/>
      <c r="J48" s="2696">
        <v>3</v>
      </c>
      <c r="K48" s="3369" t="s">
        <v>1781</v>
      </c>
      <c r="L48" s="3369"/>
      <c r="M48" s="3372">
        <f ca="1">H101</f>
        <v>238059</v>
      </c>
      <c r="N48" s="3372"/>
      <c r="O48" s="3372"/>
    </row>
    <row r="49" spans="1:35" ht="25.5" customHeight="1">
      <c r="A49" s="2506" t="s">
        <v>1782</v>
      </c>
      <c r="B49" s="3417" t="s">
        <v>1783</v>
      </c>
      <c r="C49" s="3417"/>
      <c r="D49" s="1726">
        <v>0</v>
      </c>
      <c r="E49" s="330" t="s">
        <v>1784</v>
      </c>
      <c r="F49" s="2599" t="s">
        <v>34</v>
      </c>
      <c r="G49" s="3400"/>
      <c r="H49" s="2478" t="s">
        <v>2630</v>
      </c>
      <c r="I49" s="2479"/>
      <c r="J49" s="2696">
        <v>4</v>
      </c>
      <c r="K49" s="3369" t="str">
        <f>IF(项目基本情况!E8="房地产抵押价值","房地产抵押价值","抵押担保权已注销时的房地产抵押价值")</f>
        <v>房地产抵押价值</v>
      </c>
      <c r="L49" s="3369"/>
      <c r="M49" s="3372">
        <f ca="1">IF(项目基本情况!E8="房地产抵押价值",H107,H109)</f>
        <v>238059</v>
      </c>
      <c r="N49" s="3372"/>
      <c r="O49" s="3372"/>
    </row>
    <row r="50" spans="1:35" ht="25.5" customHeight="1">
      <c r="A50" s="2724"/>
      <c r="B50" s="3417" t="s">
        <v>1785</v>
      </c>
      <c r="C50" s="3417"/>
      <c r="D50" s="2725"/>
      <c r="E50" s="338"/>
      <c r="F50" s="2599"/>
      <c r="G50" s="3401"/>
      <c r="H50" s="2480" t="s">
        <v>2631</v>
      </c>
      <c r="I50" s="2479"/>
      <c r="J50" s="3368" t="s">
        <v>1786</v>
      </c>
      <c r="K50" s="3368"/>
      <c r="L50" s="3368"/>
      <c r="M50" s="3368"/>
      <c r="N50" s="3368"/>
      <c r="O50" s="3368"/>
    </row>
    <row r="51" spans="1:35" ht="20.45" customHeight="1">
      <c r="A51" s="2726"/>
      <c r="B51" s="3417" t="s">
        <v>1787</v>
      </c>
      <c r="C51" s="3417"/>
      <c r="D51" s="1200"/>
      <c r="E51" s="333"/>
      <c r="F51" s="2599"/>
      <c r="G51" s="3402"/>
      <c r="H51" s="2480" t="s">
        <v>2632</v>
      </c>
      <c r="I51" s="2479"/>
      <c r="J51" s="2697" t="s">
        <v>1788</v>
      </c>
      <c r="K51" s="3369" t="s">
        <v>1789</v>
      </c>
      <c r="L51" s="3369"/>
      <c r="M51" s="2697" t="s">
        <v>1790</v>
      </c>
      <c r="N51" s="2697" t="s">
        <v>1791</v>
      </c>
      <c r="O51" s="2697" t="s">
        <v>1792</v>
      </c>
    </row>
    <row r="52" spans="1:35" ht="24" customHeight="1">
      <c r="A52" s="2508" t="s">
        <v>1793</v>
      </c>
      <c r="B52" s="3417" t="s">
        <v>1794</v>
      </c>
      <c r="C52" s="3417"/>
      <c r="D52" s="1200">
        <f ca="1">ROUND(D45*'数据-取费表'!B41/(1+'数据-取费表'!C42),0)</f>
        <v>12696</v>
      </c>
      <c r="E52" s="2507" t="s">
        <v>1795</v>
      </c>
      <c r="F52" s="2727">
        <f>'数据-取费表'!B41</f>
        <v>5.6000000000000001E-2</v>
      </c>
      <c r="G52" s="2728"/>
      <c r="H52" s="2717"/>
      <c r="I52" s="1944"/>
      <c r="J52" s="2696">
        <v>1</v>
      </c>
      <c r="K52" s="3394" t="s">
        <v>1796</v>
      </c>
      <c r="L52" s="3394"/>
      <c r="M52" s="2698" t="b">
        <f>D48</f>
        <v>0</v>
      </c>
      <c r="N52" s="2696" t="str">
        <f>E48</f>
        <v>销售额×税（费）率</v>
      </c>
      <c r="O52" s="2699">
        <f>F48</f>
        <v>5.6000000000000001E-2</v>
      </c>
    </row>
    <row r="53" spans="1:35" ht="12" customHeight="1">
      <c r="A53" s="2508" t="s">
        <v>1797</v>
      </c>
      <c r="B53" s="3418" t="s">
        <v>2776</v>
      </c>
      <c r="C53" s="3419"/>
      <c r="D53" s="1200">
        <f ca="1">ROUND(D45*'数据-取费表'!B41/(1+'数据-取费表'!C42),0)</f>
        <v>12696</v>
      </c>
      <c r="E53" s="2507" t="s">
        <v>1795</v>
      </c>
      <c r="F53" s="2727">
        <f>'数据-取费表'!B41</f>
        <v>5.6000000000000001E-2</v>
      </c>
      <c r="G53" s="2728"/>
      <c r="H53" s="2717"/>
      <c r="I53" s="1944"/>
      <c r="J53" s="2696">
        <v>2</v>
      </c>
      <c r="K53" s="3394" t="s">
        <v>1798</v>
      </c>
      <c r="L53" s="3394"/>
      <c r="M53" s="2698">
        <f t="shared" ref="M53:O54" ca="1" si="0">D55</f>
        <v>119</v>
      </c>
      <c r="N53" s="2696" t="str">
        <f t="shared" si="0"/>
        <v>销售额×税（费）率</v>
      </c>
      <c r="O53" s="2699" t="str">
        <f t="shared" si="0"/>
        <v>免征</v>
      </c>
    </row>
    <row r="54" spans="1:35" ht="12" customHeight="1">
      <c r="A54" s="2508" t="s">
        <v>1799</v>
      </c>
      <c r="B54" s="3418" t="s">
        <v>2777</v>
      </c>
      <c r="C54" s="3419"/>
      <c r="D54" s="1200">
        <f ca="1">C68</f>
        <v>12696</v>
      </c>
      <c r="E54" s="333" t="s">
        <v>1800</v>
      </c>
      <c r="F54" s="2727">
        <f>'数据-取费表'!B41</f>
        <v>5.6000000000000001E-2</v>
      </c>
      <c r="G54" s="2728"/>
      <c r="H54" s="2729"/>
      <c r="I54" s="1944"/>
      <c r="J54" s="2696">
        <v>3</v>
      </c>
      <c r="K54" s="3394" t="s">
        <v>1801</v>
      </c>
      <c r="L54" s="3394"/>
      <c r="M54" s="2698">
        <f t="shared" ca="1" si="0"/>
        <v>134742</v>
      </c>
      <c r="N54" s="2696" t="str">
        <f t="shared" si="0"/>
        <v>增值额×税（费）率</v>
      </c>
      <c r="O54" s="2700" t="str">
        <f t="shared" si="0"/>
        <v>免征</v>
      </c>
    </row>
    <row r="55" spans="1:35" ht="24" customHeight="1">
      <c r="A55" s="3457" t="s">
        <v>1802</v>
      </c>
      <c r="B55" s="3435"/>
      <c r="C55" s="3435"/>
      <c r="D55" s="2497">
        <f ca="1">IF(H55="个人住宅",0,ROUND(D45*I55,0))</f>
        <v>119</v>
      </c>
      <c r="E55" s="2507" t="s">
        <v>1803</v>
      </c>
      <c r="F55" s="2727" t="str">
        <f>IF(H55="正常",I55,"免征")</f>
        <v>免征</v>
      </c>
      <c r="G55" s="2728"/>
      <c r="H55" s="2723"/>
      <c r="I55" s="170">
        <f>'数据-取费表'!B49</f>
        <v>5.0000000000000001E-4</v>
      </c>
      <c r="J55" s="2696">
        <f>IF(H59="非个人房产","",4)</f>
        <v>4</v>
      </c>
      <c r="K55" s="3394" t="str">
        <f>IF(H59="非个人房产","——","个人所得税")</f>
        <v>个人所得税</v>
      </c>
      <c r="L55" s="3394"/>
      <c r="M55" s="2701">
        <f ca="1">D59</f>
        <v>2267</v>
      </c>
      <c r="N55" s="2178" t="str">
        <f>E59</f>
        <v>差额计税</v>
      </c>
      <c r="O55" s="2702">
        <f>F59</f>
        <v>0.01</v>
      </c>
    </row>
    <row r="56" spans="1:35" ht="24.75">
      <c r="A56" s="3457" t="s">
        <v>1804</v>
      </c>
      <c r="B56" s="3435"/>
      <c r="C56" s="3435"/>
      <c r="D56" s="2497">
        <f ca="1">IF(H56="个人住宅",D57,D58)</f>
        <v>134742</v>
      </c>
      <c r="E56" s="2507" t="s">
        <v>1805</v>
      </c>
      <c r="F56" s="2727" t="str">
        <f>IF(H56="正常",F58,"免征")</f>
        <v>免征</v>
      </c>
      <c r="G56" s="2730" t="s">
        <v>1806</v>
      </c>
      <c r="H56" s="2731"/>
      <c r="I56" s="1945"/>
      <c r="J56" s="2696" t="str">
        <f>IF(项目基本情况!K6="上海银行",IF(J55="",4,J55+1),"")</f>
        <v/>
      </c>
      <c r="K56" s="3375" t="str">
        <f>IF(项目基本情况!K6="上海银行","其他处置费用","")</f>
        <v/>
      </c>
      <c r="L56" s="3376"/>
      <c r="M56" s="2698" t="str">
        <f>IF(项目基本情况!K6="上海银行",M69,"")</f>
        <v/>
      </c>
      <c r="N56" s="3375" t="str">
        <f>IF(项目基本情况!K6="上海银行","包含处置中涉及的律师、诉讼、拍卖、评估等费用","")</f>
        <v/>
      </c>
      <c r="O56" s="3378"/>
    </row>
    <row r="57" spans="1:35" ht="12.75">
      <c r="A57" s="2508" t="s">
        <v>1782</v>
      </c>
      <c r="B57" s="3418" t="s">
        <v>1807</v>
      </c>
      <c r="C57" s="3419"/>
      <c r="D57" s="1726">
        <v>0</v>
      </c>
      <c r="E57" s="330" t="s">
        <v>1784</v>
      </c>
      <c r="F57" s="308"/>
      <c r="G57" s="2728"/>
      <c r="H57" s="2732"/>
      <c r="I57" s="1945"/>
      <c r="J57" s="3394">
        <f>IF(AND(J55="",J56=""),4,IF(项目基本情况!K6="上海银行",结果表!J56+1,结果表!J55+1))</f>
        <v>5</v>
      </c>
      <c r="K57" s="3394" t="s">
        <v>1808</v>
      </c>
      <c r="L57" s="2703" t="s">
        <v>1809</v>
      </c>
      <c r="M57" s="2704"/>
      <c r="N57" s="2705">
        <f ca="1">SUMIF(M52:M56,"&lt;9e307")</f>
        <v>137128</v>
      </c>
      <c r="O57" s="2706"/>
      <c r="P57" s="2866">
        <f ca="1">N57/M49</f>
        <v>0.57602527104625323</v>
      </c>
    </row>
    <row r="58" spans="1:35" ht="24.75">
      <c r="A58" s="2508" t="s">
        <v>1793</v>
      </c>
      <c r="B58" s="3418" t="s">
        <v>1810</v>
      </c>
      <c r="C58" s="3417"/>
      <c r="D58" s="2497">
        <f ca="1">IF(H58="转让取得",C81,C97)</f>
        <v>134742</v>
      </c>
      <c r="E58" s="2507" t="s">
        <v>1805</v>
      </c>
      <c r="F58" s="308" t="s">
        <v>34</v>
      </c>
      <c r="G58" s="2728"/>
      <c r="H58" s="2731"/>
      <c r="I58" s="1945"/>
      <c r="J58" s="3394"/>
      <c r="K58" s="3394"/>
      <c r="L58" s="2703" t="s">
        <v>1811</v>
      </c>
      <c r="M58" s="2707"/>
      <c r="N58" s="2708" t="str">
        <f ca="1">NUMBERSTRING(INT(N57*10000),2)&amp;"元整"</f>
        <v>壹拾叁亿柒仟壹佰贰拾捌万元整</v>
      </c>
      <c r="O58" s="2709"/>
    </row>
    <row r="59" spans="1:35" ht="24.75" thickBot="1">
      <c r="A59" s="3398" t="s">
        <v>1812</v>
      </c>
      <c r="B59" s="3399"/>
      <c r="C59" s="3399"/>
      <c r="D59" s="2733">
        <f ca="1">IF(H59="非个人房产","——",IF(H59="个人住宅（满五唯一有凭证）",0,IF(H59="个人其他（无凭证）",ROUND(D45*F59,0),ROUND(C67*F59,0))))</f>
        <v>2267</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1806</v>
      </c>
      <c r="H59" s="2482"/>
      <c r="I59" s="2481" t="s">
        <v>2633</v>
      </c>
      <c r="J59" s="3396">
        <f>J57+1</f>
        <v>6</v>
      </c>
      <c r="K59" s="3394" t="s">
        <v>1813</v>
      </c>
      <c r="L59" s="2696" t="s">
        <v>1809</v>
      </c>
      <c r="M59" s="2710"/>
      <c r="N59" s="2711">
        <f ca="1">M49-N57</f>
        <v>100931</v>
      </c>
      <c r="O59" s="2712"/>
    </row>
    <row r="60" spans="1:35" ht="12" customHeight="1">
      <c r="A60" s="1946"/>
      <c r="B60" s="1884"/>
      <c r="C60" s="1884"/>
      <c r="D60" s="1884"/>
      <c r="E60" s="1714"/>
      <c r="F60" s="1945"/>
      <c r="G60" s="1945"/>
      <c r="H60" s="1947"/>
      <c r="I60" s="134"/>
      <c r="J60" s="3397"/>
      <c r="K60" s="3394"/>
      <c r="L60" s="2703" t="s">
        <v>1811</v>
      </c>
      <c r="M60" s="2707"/>
      <c r="N60" s="2708" t="str">
        <f ca="1">NUMBERSTRING(INT(N59*10000),2)&amp;"元整"</f>
        <v>壹拾亿零玖佰叁拾壹万元整</v>
      </c>
      <c r="O60" s="2709"/>
    </row>
    <row r="61" spans="1:35" ht="13.5" thickBot="1">
      <c r="A61" s="3456" t="s">
        <v>1814</v>
      </c>
      <c r="B61" s="3456"/>
      <c r="C61" s="3456"/>
      <c r="D61" s="3456"/>
      <c r="E61" s="3456"/>
      <c r="F61" s="1945"/>
      <c r="G61" s="1945"/>
      <c r="H61" s="1947"/>
      <c r="I61" s="134"/>
      <c r="J61" s="2696">
        <f>J59+1</f>
        <v>7</v>
      </c>
      <c r="K61" s="3394" t="s">
        <v>1815</v>
      </c>
      <c r="L61" s="3394"/>
      <c r="M61" s="2713"/>
      <c r="N61" s="2714">
        <f ca="1">ROUND(N59*10000/'数据-汇总表'!E3,0)</f>
        <v>17312</v>
      </c>
      <c r="O61" s="2715"/>
    </row>
    <row r="62" spans="1:35" ht="12.75">
      <c r="A62" s="3413" t="s">
        <v>1816</v>
      </c>
      <c r="B62" s="3414"/>
      <c r="C62" s="2159"/>
      <c r="D62" s="2159" t="s">
        <v>1817</v>
      </c>
      <c r="E62" s="171" t="s">
        <v>1818</v>
      </c>
      <c r="F62" s="1945"/>
      <c r="G62" s="1945"/>
      <c r="H62" s="1947"/>
      <c r="I62" s="134"/>
    </row>
    <row r="63" spans="1:35" ht="12.75">
      <c r="A63" s="178" t="s">
        <v>594</v>
      </c>
      <c r="B63" s="172" t="s">
        <v>1819</v>
      </c>
      <c r="C63" s="2737">
        <f ca="1">ROUND((C64+C65)/(1+'数据-取费表'!C42),0)</f>
        <v>226723</v>
      </c>
      <c r="D63" s="172"/>
      <c r="E63" s="173"/>
      <c r="F63" s="1945"/>
      <c r="G63" s="1945"/>
      <c r="H63" s="1947"/>
      <c r="I63" s="134"/>
      <c r="J63" s="3377" t="s">
        <v>1820</v>
      </c>
      <c r="K63" s="1453" t="s">
        <v>1821</v>
      </c>
      <c r="L63" s="1453">
        <f ca="1">IF(M49&gt;10000,M49*0.5%,IF(AND(M49&gt;1000,M49&lt;=10000),M49*1%,IF(AND(M49&gt;100,M49&lt;=1000),M49*3%,IF(AND(M49&gt;10,M49&lt;=100),M49*5%,M49*8%))))</f>
        <v>1190.2950000000001</v>
      </c>
      <c r="M63" s="308">
        <f ca="1">ROUND(L63,1)</f>
        <v>1190.3</v>
      </c>
      <c r="N63" s="2716"/>
      <c r="Z63" s="1889"/>
      <c r="AI63" s="1890"/>
    </row>
    <row r="64" spans="1:35" ht="14.25" customHeight="1">
      <c r="A64" s="174" t="s">
        <v>589</v>
      </c>
      <c r="B64" s="175" t="s">
        <v>1822</v>
      </c>
      <c r="C64" s="2738">
        <f ca="1">D45</f>
        <v>238059</v>
      </c>
      <c r="D64" s="175" t="s">
        <v>32</v>
      </c>
      <c r="E64" s="177"/>
      <c r="F64" s="1945"/>
      <c r="G64" s="1945"/>
      <c r="H64" s="1947"/>
      <c r="I64" s="134"/>
      <c r="J64" s="3377"/>
      <c r="K64" s="1453" t="s">
        <v>1823</v>
      </c>
      <c r="L64" s="1453">
        <f ca="1">IF(M49&gt;2000,M49*0.5%,IF(AND(M49&gt;1000,M49&lt;=2000),M49*0.6%,IF(AND(M49&gt;500,M49&lt;=1000),M49*0.7%,IF(AND(M49&gt;200,M49&lt;=500),M49*0.8%,IF(AND(M49&gt;100,M49&lt;=200),M49*0.9%,IF(AND(M49&gt;50,M49&lt;=100),M49*1%,IF(AND(M49&gt;20,M49&lt;=50),M49*1.5%,IF(AND(M49&gt;10,M49&lt;=20),M49*2%,IF(AND(M49&gt;1,M49&lt;=10),M49*2.5%)))))))))</f>
        <v>1190.2950000000001</v>
      </c>
      <c r="M64" s="308">
        <f t="shared" ref="M64:M65" ca="1" si="1">ROUND(L64,1)</f>
        <v>1190.3</v>
      </c>
      <c r="N64" s="2717" t="s">
        <v>1824</v>
      </c>
      <c r="Z64" s="1889"/>
      <c r="AI64" s="1890"/>
    </row>
    <row r="65" spans="1:35" ht="14.25" customHeight="1">
      <c r="A65" s="174" t="s">
        <v>590</v>
      </c>
      <c r="B65" s="175" t="s">
        <v>1825</v>
      </c>
      <c r="C65" s="2739"/>
      <c r="D65" s="175"/>
      <c r="E65" s="177"/>
      <c r="F65" s="1945"/>
      <c r="G65" s="1945"/>
      <c r="H65" s="1947"/>
      <c r="I65" s="134"/>
      <c r="J65" s="3377"/>
      <c r="K65" s="1453" t="s">
        <v>1826</v>
      </c>
      <c r="L65" s="1453">
        <f ca="1">IF(M49&gt;1000,M49*0.1%,IF(AND(M49&gt;500,M49&lt;=1000),M49*0.5%,IF(AND(M49&gt;50,M49&lt;=500),M49*1%,IF(AND(M49&gt;1,M49&lt;=50),M49*1.5%))))</f>
        <v>238.059</v>
      </c>
      <c r="M65" s="308">
        <f t="shared" ca="1" si="1"/>
        <v>238.1</v>
      </c>
      <c r="N65" s="2717" t="s">
        <v>1824</v>
      </c>
      <c r="Z65" s="1889"/>
      <c r="AI65" s="1890"/>
    </row>
    <row r="66" spans="1:35" ht="14.25" customHeight="1">
      <c r="A66" s="178" t="s">
        <v>591</v>
      </c>
      <c r="B66" s="179" t="s">
        <v>1827</v>
      </c>
      <c r="C66" s="2740"/>
      <c r="D66" s="179" t="s">
        <v>32</v>
      </c>
      <c r="E66" s="1460" t="s">
        <v>1092</v>
      </c>
      <c r="F66" s="1945"/>
      <c r="G66" s="1945"/>
      <c r="H66" s="1947"/>
      <c r="I66" s="134"/>
      <c r="J66" s="3377"/>
      <c r="K66" s="1453" t="s">
        <v>1828</v>
      </c>
      <c r="L66" s="1453">
        <f ca="1">M49*0.5%</f>
        <v>1190.2950000000001</v>
      </c>
      <c r="M66" s="308">
        <f ca="1">IF(L66&gt;0.5,0.5,ROUND(L66,0))</f>
        <v>0.5</v>
      </c>
      <c r="N66" s="2717" t="s">
        <v>1829</v>
      </c>
      <c r="Z66" s="1889"/>
      <c r="AI66" s="1890"/>
    </row>
    <row r="67" spans="1:35" ht="14.25" customHeight="1">
      <c r="A67" s="178" t="s">
        <v>592</v>
      </c>
      <c r="B67" s="179" t="s">
        <v>1830</v>
      </c>
      <c r="C67" s="2741">
        <f ca="1">C63-C66</f>
        <v>226723</v>
      </c>
      <c r="D67" s="175" t="s">
        <v>32</v>
      </c>
      <c r="E67" s="177"/>
      <c r="F67" s="1945"/>
      <c r="G67" s="1945"/>
      <c r="H67" s="1947"/>
      <c r="I67" s="134"/>
      <c r="J67" s="3377"/>
      <c r="K67" s="1453" t="s">
        <v>1831</v>
      </c>
      <c r="L67" s="1453">
        <f ca="1">IF(M49&gt;=10000,(8.25+(M49-10000)*0.01%),IF(AND(M49&gt;=8000,M49&lt;10000),(7.85+(M49-8000)*0.02%),IF(AND(M49&gt;=5000,M49&lt;8000),(6.65+(M49-5000)*0.04%),IF(AND(M49&gt;=2000,M49&lt;5000),(4.25+(PM49-2000)*0.08%),IF(AND(M49&gt;=1000,M49&lt;2000),(2.75+(M49-1000)*0.15%),IF(AND(M49&gt;=100,M49&lt;1000),(0.5+(M49-100)*0.25%),IF(AND(M49&gt;0,M49&lt;100),M49*0.5%)))))))</f>
        <v>31.055900000000001</v>
      </c>
      <c r="M67" s="308">
        <f ca="1">ROUND(L67*0.9,1)</f>
        <v>28</v>
      </c>
      <c r="N67" s="2716"/>
      <c r="Z67" s="1889"/>
      <c r="AI67" s="1890"/>
    </row>
    <row r="68" spans="1:35" ht="14.25" customHeight="1" thickBot="1">
      <c r="A68" s="181" t="s">
        <v>593</v>
      </c>
      <c r="B68" s="182" t="s">
        <v>1832</v>
      </c>
      <c r="C68" s="2742">
        <f ca="1">IF(C67&lt;=0,0,ROUND(C67*D68,0))</f>
        <v>12696</v>
      </c>
      <c r="D68" s="2743">
        <f>'数据-取费表'!B41</f>
        <v>5.6000000000000001E-2</v>
      </c>
      <c r="E68" s="184"/>
      <c r="F68" s="1945"/>
      <c r="G68" s="1945"/>
      <c r="H68" s="1947"/>
      <c r="I68" s="134"/>
      <c r="J68" s="3377"/>
      <c r="K68" s="1453" t="s">
        <v>1833</v>
      </c>
      <c r="L68" s="1453">
        <f ca="1">IF(M49&gt;10000,M49*0.5%,IF(AND(M49&gt;5000,M49&lt;=10000),M49*1%,IF(AND(M49&gt;1000,M49&lt;=5000),M49*2%,IF(AND(M49&gt;200,M49&lt;=1000),M49*3%,M49*5%))))</f>
        <v>1190.2950000000001</v>
      </c>
      <c r="M68" s="308">
        <f ca="1">ROUND(L68,1)</f>
        <v>1190.3</v>
      </c>
      <c r="N68" s="2716"/>
      <c r="Z68" s="1889"/>
      <c r="AI68" s="1890"/>
    </row>
    <row r="69" spans="1:35" s="1909" customFormat="1" ht="16.5" customHeight="1">
      <c r="A69" s="1948"/>
      <c r="B69" s="1949"/>
      <c r="C69" s="1950"/>
      <c r="D69" s="1951"/>
      <c r="E69" s="1952"/>
      <c r="F69" s="1714"/>
      <c r="G69" s="1714"/>
      <c r="H69" s="1713"/>
      <c r="I69" s="1884"/>
      <c r="J69" s="3377"/>
      <c r="K69" s="1453" t="s">
        <v>1834</v>
      </c>
      <c r="L69" s="1453"/>
      <c r="M69" s="308">
        <f ca="1">ROUND(SUM(M63:M68),0)</f>
        <v>3838</v>
      </c>
      <c r="N69" s="2718">
        <f ca="1">M69/M49</f>
        <v>1.6122053776584797E-2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21" t="s">
        <v>1835</v>
      </c>
      <c r="B70" s="3422"/>
      <c r="C70" s="3422"/>
      <c r="D70" s="3422"/>
      <c r="E70" s="3422"/>
      <c r="F70" s="3422"/>
      <c r="G70" s="3422"/>
      <c r="H70" s="3422"/>
      <c r="I70" s="1953"/>
      <c r="J70" s="2867"/>
      <c r="K70" s="2867"/>
      <c r="L70" s="2867"/>
      <c r="M70" s="2867"/>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13" t="s">
        <v>1816</v>
      </c>
      <c r="B71" s="3414"/>
      <c r="C71" s="2159"/>
      <c r="D71" s="2159" t="s">
        <v>1817</v>
      </c>
      <c r="E71" s="185" t="s">
        <v>1818</v>
      </c>
      <c r="F71" s="186"/>
      <c r="G71" s="186"/>
      <c r="H71" s="187"/>
      <c r="I71" s="1957"/>
      <c r="J71" s="2867"/>
      <c r="K71" s="2867"/>
      <c r="L71" s="2867"/>
      <c r="M71" s="2867"/>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1836</v>
      </c>
      <c r="C72" s="2741">
        <f ca="1">ROUND(D45/(1+'数据-取费表'!C42),0)</f>
        <v>226723</v>
      </c>
      <c r="D72" s="175" t="s">
        <v>32</v>
      </c>
      <c r="E72" s="2504"/>
      <c r="F72" s="2503"/>
      <c r="G72" s="2503"/>
      <c r="H72" s="188"/>
      <c r="I72" s="1957"/>
      <c r="J72" s="2867"/>
      <c r="K72" s="2867"/>
      <c r="L72" s="2867"/>
      <c r="M72" s="2867"/>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1837</v>
      </c>
      <c r="C73" s="2741">
        <f ca="1">C74+C78</f>
        <v>1360</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1838</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1839</v>
      </c>
      <c r="C75" s="2744"/>
      <c r="D75" s="175" t="s">
        <v>32</v>
      </c>
      <c r="E75" s="190" t="s">
        <v>1840</v>
      </c>
      <c r="F75" s="2745"/>
      <c r="G75" s="190" t="s">
        <v>1841</v>
      </c>
      <c r="H75" s="2746"/>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1842</v>
      </c>
      <c r="C76" s="175">
        <f>IF(F75="购房发票",ROUND(C75*H75*D76,0),0)</f>
        <v>0</v>
      </c>
      <c r="D76" s="2747">
        <v>0.05</v>
      </c>
      <c r="E76" s="3418" t="s">
        <v>1843</v>
      </c>
      <c r="F76" s="3417"/>
      <c r="G76" s="3417"/>
      <c r="H76" s="342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1844</v>
      </c>
      <c r="C77" s="175">
        <f>ROUND(IF(G77="个人住宅",0,IF(G77="2016年5月1日前购买",C75*D77,C75*D77/(1+'数据-取费表'!C42))),0)</f>
        <v>0</v>
      </c>
      <c r="D77" s="2748">
        <f>'数据-取费表'!B48+'数据-取费表'!B49</f>
        <v>3.0499999999999999E-2</v>
      </c>
      <c r="E77" s="2497" t="s">
        <v>1845</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1846</v>
      </c>
      <c r="C78" s="2749">
        <f ca="1">ROUND(D45*D78/(1+'数据-取费表'!C42),0)</f>
        <v>1360</v>
      </c>
      <c r="D78" s="2750">
        <f>'数据-取费表'!B43</f>
        <v>6.000000000000001E-3</v>
      </c>
      <c r="E78" s="3410" t="s">
        <v>1847</v>
      </c>
      <c r="F78" s="3411"/>
      <c r="G78" s="3411"/>
      <c r="H78" s="341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1848</v>
      </c>
      <c r="C79" s="2741">
        <f ca="1">C72-C73</f>
        <v>225363</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1849</v>
      </c>
      <c r="C80" s="2751">
        <f ca="1">IF(C79&lt;=0,0,C79/C73)</f>
        <v>165.70808823529413</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1850</v>
      </c>
      <c r="C81" s="2752">
        <f ca="1">ROUND(IF(C79&lt;=0,0,IF(C80&gt;=200%,C79*60%-C73*35%,IF(C80&gt;=100%,C79*50%-C73*15%,IF(C80&gt;=50%,C79*40%-C73*5%,IF(C80&lt;50%,C79*30%,0))))),0)</f>
        <v>134742</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21" t="s">
        <v>1851</v>
      </c>
      <c r="B83" s="3422"/>
      <c r="C83" s="3422"/>
      <c r="D83" s="3422"/>
      <c r="E83" s="3422"/>
      <c r="F83" s="3422"/>
      <c r="G83" s="3422"/>
      <c r="H83" s="342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13" t="s">
        <v>1816</v>
      </c>
      <c r="B84" s="3414"/>
      <c r="C84" s="2159"/>
      <c r="D84" s="2159" t="s">
        <v>1817</v>
      </c>
      <c r="E84" s="185" t="s">
        <v>1818</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1836</v>
      </c>
      <c r="C85" s="2741">
        <f ca="1">ROUND(D45/(1+'数据-取费表'!C42),0)</f>
        <v>226723</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1837</v>
      </c>
      <c r="C86" s="2741">
        <f ca="1">IF(H88="仅含出让金",C87+C90+C91+C92+C93+C94,C87+C91+C92+C93+C94)</f>
        <v>1360</v>
      </c>
      <c r="D86" s="2754"/>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1852</v>
      </c>
      <c r="C87" s="2749">
        <f>C88+C89</f>
        <v>0</v>
      </c>
      <c r="D87" s="2750"/>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1853</v>
      </c>
      <c r="C88" s="2755"/>
      <c r="D88" s="2750"/>
      <c r="E88" s="199" t="s">
        <v>1854</v>
      </c>
      <c r="F88" s="2500"/>
      <c r="G88" s="200" t="s">
        <v>1855</v>
      </c>
      <c r="H88" s="1961"/>
      <c r="I88" s="1958"/>
      <c r="J88" s="2694" t="s">
        <v>2773</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1844</v>
      </c>
      <c r="C89" s="2749">
        <f>ROUND(C88*D89,0)</f>
        <v>0</v>
      </c>
      <c r="D89" s="2750">
        <f>'数据-取费表'!B48+'数据-取费表'!B49</f>
        <v>3.0499999999999999E-2</v>
      </c>
      <c r="E89" s="199" t="s">
        <v>1856</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1857</v>
      </c>
      <c r="C90" s="2755"/>
      <c r="D90" s="2750"/>
      <c r="E90" s="199" t="str">
        <f>IF(H88="-","土地取得成本中已包含该笔费用"," ")</f>
        <v xml:space="preserve"> </v>
      </c>
      <c r="F90" s="2500"/>
      <c r="G90" s="3379" t="s">
        <v>2625</v>
      </c>
      <c r="H90" s="3380"/>
      <c r="I90" s="1958"/>
      <c r="J90" s="2694" t="s">
        <v>2774</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1858</v>
      </c>
      <c r="B91" s="175" t="s">
        <v>1859</v>
      </c>
      <c r="C91" s="2749">
        <f>IF(H91="——",成本法!C33,I91)</f>
        <v>0</v>
      </c>
      <c r="D91" s="2750"/>
      <c r="E91" s="3410" t="s">
        <v>1860</v>
      </c>
      <c r="F91" s="3411"/>
      <c r="G91" s="341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1861</v>
      </c>
      <c r="B92" s="175" t="s">
        <v>1862</v>
      </c>
      <c r="C92" s="2749">
        <f>ROUND((C87+C90+C91)*D92,0)</f>
        <v>0</v>
      </c>
      <c r="D92" s="2756"/>
      <c r="E92" s="3410" t="s">
        <v>1863</v>
      </c>
      <c r="F92" s="3411"/>
      <c r="G92" s="3411"/>
      <c r="H92" s="3412"/>
      <c r="I92" s="1958"/>
      <c r="J92" s="2695" t="s">
        <v>2775</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1864</v>
      </c>
      <c r="B93" s="175" t="s">
        <v>1846</v>
      </c>
      <c r="C93" s="2749">
        <f ca="1">ROUND(D45*D93/(1+'数据-取费表'!C42),0)</f>
        <v>1360</v>
      </c>
      <c r="D93" s="2750">
        <f>'数据-取费表'!B43</f>
        <v>6.000000000000001E-3</v>
      </c>
      <c r="E93" s="3410" t="s">
        <v>1847</v>
      </c>
      <c r="F93" s="3411"/>
      <c r="G93" s="3411"/>
      <c r="H93" s="341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1865</v>
      </c>
      <c r="B94" s="175" t="s">
        <v>1866</v>
      </c>
      <c r="C94" s="2755">
        <f>ROUND((C87+C90+C91)*D94,0)</f>
        <v>0</v>
      </c>
      <c r="D94" s="2750">
        <v>0.2</v>
      </c>
      <c r="E94" s="3458" t="s">
        <v>1867</v>
      </c>
      <c r="F94" s="3459"/>
      <c r="G94" s="3459"/>
      <c r="H94" s="346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1848</v>
      </c>
      <c r="C95" s="2741">
        <f ca="1">ROUND(C85-C86,0)</f>
        <v>225363</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1849</v>
      </c>
      <c r="C96" s="2751">
        <f ca="1">IF(C95&lt;=0,0,C95/C86)</f>
        <v>165.70808823529413</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1850</v>
      </c>
      <c r="C97" s="2752">
        <f ca="1">ROUND(IF(C95&lt;=0,0,IF(C96&gt;=200%,C95*60%-C86*35%,IF(C96&gt;=100%,C95*50%-C86*15%,IF(C96&gt;=50%,C95*40%-C86*5%,IF(C96&lt;50%,C95*30%,0))))),0)</f>
        <v>134742</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1868</v>
      </c>
      <c r="B99" s="1884"/>
      <c r="C99" s="1884"/>
      <c r="D99" s="1884"/>
      <c r="E99" s="1714"/>
      <c r="F99" s="1714"/>
      <c r="G99" s="1714"/>
      <c r="H99" s="1713"/>
      <c r="I99" s="134"/>
    </row>
    <row r="100" spans="1:35" ht="18.75" customHeight="1">
      <c r="A100" s="3360" t="s">
        <v>1869</v>
      </c>
      <c r="B100" s="3361"/>
      <c r="C100" s="3361"/>
      <c r="D100" s="3395"/>
      <c r="E100" s="3361" t="s">
        <v>1870</v>
      </c>
      <c r="F100" s="3361"/>
      <c r="G100" s="3361"/>
      <c r="H100" s="3395"/>
      <c r="I100" s="134"/>
    </row>
    <row r="101" spans="1:35" ht="18.75" customHeight="1">
      <c r="A101" s="3403" t="s">
        <v>1871</v>
      </c>
      <c r="B101" s="3404"/>
      <c r="C101" s="2758" t="str">
        <f>C4</f>
        <v>成本法</v>
      </c>
      <c r="D101" s="2759" t="str">
        <f>D4</f>
        <v>收益法</v>
      </c>
      <c r="E101" s="3373" t="s">
        <v>1872</v>
      </c>
      <c r="F101" s="3374"/>
      <c r="G101" s="1964" t="s">
        <v>1873</v>
      </c>
      <c r="H101" s="2768">
        <f ca="1">H118</f>
        <v>238059</v>
      </c>
      <c r="I101" s="134"/>
    </row>
    <row r="102" spans="1:35" ht="18.75" customHeight="1">
      <c r="A102" s="3405" t="s">
        <v>1874</v>
      </c>
      <c r="B102" s="2757" t="s">
        <v>1873</v>
      </c>
      <c r="C102" s="2758">
        <f ca="1">C19</f>
        <v>305446</v>
      </c>
      <c r="D102" s="2759">
        <f ca="1">D19</f>
        <v>170672</v>
      </c>
      <c r="E102" s="3373"/>
      <c r="F102" s="3374"/>
      <c r="G102" s="1964" t="s">
        <v>1875</v>
      </c>
      <c r="H102" s="2728">
        <f ca="1">I118</f>
        <v>40833</v>
      </c>
      <c r="I102" s="134"/>
    </row>
    <row r="103" spans="1:35" ht="42.75" customHeight="1">
      <c r="A103" s="3405"/>
      <c r="B103" s="2757" t="s">
        <v>1875</v>
      </c>
      <c r="C103" s="2760">
        <f ca="1">C20</f>
        <v>52392</v>
      </c>
      <c r="D103" s="2761">
        <f ca="1">D20</f>
        <v>29275</v>
      </c>
      <c r="E103" s="3366" t="s">
        <v>1876</v>
      </c>
      <c r="F103" s="3367"/>
      <c r="G103" s="1965" t="s">
        <v>1877</v>
      </c>
      <c r="H103" s="2768">
        <f>IF(D36="正常操作",H104+H105+H106,H105+H106)</f>
        <v>0</v>
      </c>
      <c r="I103" s="134"/>
    </row>
    <row r="104" spans="1:35" ht="18.75" customHeight="1">
      <c r="A104" s="3405" t="s">
        <v>1878</v>
      </c>
      <c r="B104" s="2762" t="s">
        <v>1873</v>
      </c>
      <c r="C104" s="2763">
        <f ca="1">H118</f>
        <v>238059</v>
      </c>
      <c r="D104" s="2764"/>
      <c r="E104" s="1811" t="s">
        <v>1879</v>
      </c>
      <c r="F104" s="1802"/>
      <c r="G104" s="1965" t="s">
        <v>1877</v>
      </c>
      <c r="H104" s="2769">
        <f>IF(D36="同一抵押权人同一抵押物续贷",C36&amp;"（续贷，未扣减，详见特别提示）",C36)</f>
        <v>0</v>
      </c>
      <c r="I104" s="134"/>
    </row>
    <row r="105" spans="1:35" ht="18.75" customHeight="1" thickBot="1">
      <c r="A105" s="3415"/>
      <c r="B105" s="2765" t="s">
        <v>1875</v>
      </c>
      <c r="C105" s="2766">
        <f ca="1">I118</f>
        <v>40833</v>
      </c>
      <c r="D105" s="2767"/>
      <c r="E105" s="1811" t="s">
        <v>1880</v>
      </c>
      <c r="F105" s="1802"/>
      <c r="G105" s="1965" t="s">
        <v>1877</v>
      </c>
      <c r="H105" s="2770">
        <f>C37</f>
        <v>0</v>
      </c>
      <c r="I105" s="134"/>
    </row>
    <row r="106" spans="1:35" ht="18.75" customHeight="1">
      <c r="A106" s="1884" t="s">
        <v>1881</v>
      </c>
      <c r="B106" s="1884"/>
      <c r="C106" s="1884"/>
      <c r="D106" s="1884"/>
      <c r="E106" s="1966" t="s">
        <v>1882</v>
      </c>
      <c r="F106" s="1802"/>
      <c r="G106" s="1965" t="s">
        <v>1877</v>
      </c>
      <c r="H106" s="2770">
        <f>C38</f>
        <v>0</v>
      </c>
      <c r="I106" s="134"/>
    </row>
    <row r="107" spans="1:35" ht="18.75" customHeight="1">
      <c r="A107" s="134"/>
      <c r="B107" s="134"/>
      <c r="C107" s="134"/>
      <c r="D107" s="134"/>
      <c r="E107" s="3406" t="str">
        <f>IF(项目基本情况!E8="已注销","——","3.房地产抵押价值")</f>
        <v>3.房地产抵押价值</v>
      </c>
      <c r="F107" s="3374"/>
      <c r="G107" s="1964" t="s">
        <v>1873</v>
      </c>
      <c r="H107" s="2768">
        <f ca="1">IF(E107="——","——",H101-H103)</f>
        <v>238059</v>
      </c>
      <c r="I107" s="134"/>
    </row>
    <row r="108" spans="1:35" ht="18.75" customHeight="1">
      <c r="A108" s="134"/>
      <c r="B108" s="134"/>
      <c r="C108" s="134"/>
      <c r="D108" s="134"/>
      <c r="E108" s="3406"/>
      <c r="F108" s="3374"/>
      <c r="G108" s="1964" t="s">
        <v>1875</v>
      </c>
      <c r="H108" s="2728">
        <f ca="1">ROUND(H107*10000/'数据-汇总表'!E3,0)</f>
        <v>40833</v>
      </c>
      <c r="I108" s="134"/>
    </row>
    <row r="109" spans="1:35" ht="18.75" customHeight="1">
      <c r="A109" s="134"/>
      <c r="B109" s="134"/>
      <c r="C109" s="134"/>
      <c r="D109" s="134"/>
      <c r="E109" s="3406" t="str">
        <f>IF(项目基本情况!E8="已注销及未注销","4.抵押担保权已注销时的房地产抵押价值",IF(项目基本情况!E8="已注销","3.抵押担保权已注销时的房地产抵押价值","——"))</f>
        <v>——</v>
      </c>
      <c r="F109" s="3374"/>
      <c r="G109" s="1964" t="s">
        <v>1873</v>
      </c>
      <c r="H109" s="2771" t="str">
        <f>IF(E109="——","——",H101-H105-H106)</f>
        <v>——</v>
      </c>
      <c r="I109" s="134"/>
    </row>
    <row r="110" spans="1:35" ht="18.75" customHeight="1">
      <c r="A110" s="134"/>
      <c r="B110" s="134"/>
      <c r="C110" s="134"/>
      <c r="D110" s="134"/>
      <c r="E110" s="3406"/>
      <c r="F110" s="3374"/>
      <c r="G110" s="1964" t="s">
        <v>1875</v>
      </c>
      <c r="H110" s="2728" t="str">
        <f>IF(H109="——","——",ROUND(H109*10000/'数据-汇总表'!E3,0))</f>
        <v>——</v>
      </c>
      <c r="I110" s="134"/>
    </row>
    <row r="111" spans="1:35" ht="18.75" customHeight="1">
      <c r="A111" s="134"/>
      <c r="B111" s="134"/>
      <c r="C111" s="134"/>
      <c r="D111" s="134"/>
      <c r="E111" s="3407" t="str">
        <f>IF(项目基本情况!E9="抵押净值",IF(OR(项目基本情况!E8="已注销",项目基本情况!E8="房地产抵押价值"),"4.抵押净值","5.抵押净值"),"——")</f>
        <v>——</v>
      </c>
      <c r="F111" s="3393"/>
      <c r="G111" s="1964" t="s">
        <v>1873</v>
      </c>
      <c r="H111" s="2768" t="str">
        <f>IF(E111="——","——",N59)</f>
        <v>——</v>
      </c>
      <c r="I111" s="134"/>
    </row>
    <row r="112" spans="1:35" ht="18.75" customHeight="1" thickBot="1">
      <c r="A112" s="134"/>
      <c r="B112" s="134"/>
      <c r="C112" s="134"/>
      <c r="D112" s="134"/>
      <c r="E112" s="3408"/>
      <c r="F112" s="3409"/>
      <c r="G112" s="1967" t="s">
        <v>1875</v>
      </c>
      <c r="H112" s="2772" t="str">
        <f>IF(E111="——","——",N61)</f>
        <v>——</v>
      </c>
      <c r="I112" s="134"/>
    </row>
    <row r="113" spans="1:27" ht="18.75" customHeight="1">
      <c r="A113" s="134"/>
      <c r="B113" s="134"/>
      <c r="C113" s="134"/>
      <c r="D113" s="134"/>
      <c r="E113" s="3416" t="s">
        <v>1881</v>
      </c>
      <c r="F113" s="3416"/>
      <c r="G113" s="3416"/>
      <c r="H113" s="3416"/>
      <c r="I113" s="134"/>
    </row>
    <row r="114" spans="1:27" ht="3.75" customHeight="1">
      <c r="A114" s="1884"/>
      <c r="B114" s="1884"/>
      <c r="C114" s="1884"/>
      <c r="D114" s="1884"/>
      <c r="E114" s="1946"/>
      <c r="F114" s="1946"/>
      <c r="G114" s="1946"/>
      <c r="H114" s="1946"/>
      <c r="I114" s="1884"/>
    </row>
    <row r="115" spans="1:27" ht="18.75" customHeight="1">
      <c r="A115" s="3427" t="s">
        <v>1883</v>
      </c>
      <c r="B115" s="3428"/>
      <c r="C115" s="3428"/>
      <c r="D115" s="3428"/>
      <c r="E115" s="3428"/>
      <c r="F115" s="3428"/>
      <c r="G115" s="3428"/>
      <c r="H115" s="3428"/>
      <c r="I115" s="3429"/>
    </row>
    <row r="116" spans="1:27" ht="27" customHeight="1">
      <c r="A116" s="3381" t="s">
        <v>1884</v>
      </c>
      <c r="B116" s="3385" t="s">
        <v>1885</v>
      </c>
      <c r="C116" s="3385" t="s">
        <v>1886</v>
      </c>
      <c r="D116" s="3391" t="s">
        <v>1887</v>
      </c>
      <c r="E116" s="3392"/>
      <c r="F116" s="3423" t="s">
        <v>1888</v>
      </c>
      <c r="G116" s="3423"/>
      <c r="H116" s="3381" t="s">
        <v>1889</v>
      </c>
      <c r="I116" s="3381"/>
    </row>
    <row r="117" spans="1:27" ht="18.75" customHeight="1">
      <c r="A117" s="3381"/>
      <c r="B117" s="3386"/>
      <c r="C117" s="3386"/>
      <c r="D117" s="2502" t="s">
        <v>1890</v>
      </c>
      <c r="E117" s="2502" t="s">
        <v>1891</v>
      </c>
      <c r="F117" s="2502" t="s">
        <v>1890</v>
      </c>
      <c r="G117" s="2502" t="s">
        <v>1892</v>
      </c>
      <c r="H117" s="2502" t="s">
        <v>1890</v>
      </c>
      <c r="I117" s="2502" t="s">
        <v>1892</v>
      </c>
    </row>
    <row r="118" spans="1:27" ht="24.75" customHeight="1">
      <c r="A118" s="2773" t="str">
        <f>项目基本情况!S2</f>
        <v>北京市房地产</v>
      </c>
      <c r="B118" s="2502">
        <f>M18</f>
        <v>58300.299999999996</v>
      </c>
      <c r="C118" s="2502">
        <f>M19</f>
        <v>10807.05</v>
      </c>
      <c r="D118" s="2502">
        <f ca="1">ROUND(IF(D32="总价",C34,E118*B118/10000),0)</f>
        <v>198541</v>
      </c>
      <c r="E118" s="2502">
        <f ca="1">ROUND(IF(C33="自定义",IF(D32="楼面单价",C34,D118*10000/B118),I118-G118),0)</f>
        <v>34055</v>
      </c>
      <c r="F118" s="2502">
        <f ca="1">ROUND(IF(D32="总价",C35,G118*B118/10000),0)</f>
        <v>39518</v>
      </c>
      <c r="G118" s="2502">
        <f ca="1">ROUND(IF(D32="楼面单价",C35,F118*10000/B118),0)</f>
        <v>6778</v>
      </c>
      <c r="H118" s="2502">
        <f ca="1">ROUND(IF(D32="总价",C32,I118*B118/10000),0)</f>
        <v>238059</v>
      </c>
      <c r="I118" s="2502">
        <f ca="1">ROUND(IF(D32="楼面单价",C32,H118*10000/B118),0)</f>
        <v>40833</v>
      </c>
    </row>
    <row r="119" spans="1:27" ht="18.75" customHeight="1">
      <c r="A119" s="3381" t="s">
        <v>1893</v>
      </c>
      <c r="B119" s="3381"/>
      <c r="C119" s="3381"/>
      <c r="D119" s="3387" t="str">
        <f ca="1">NUMBERSTRING(INT(D118*10000),2)&amp;"元整"</f>
        <v>壹拾玖亿捌仟伍佰肆拾壹万元整</v>
      </c>
      <c r="E119" s="3388"/>
      <c r="F119" s="3387" t="str">
        <f ca="1">NUMBERSTRING(INT(F118*10000),2)&amp;"元整"</f>
        <v>叁亿玖仟伍佰壹拾捌万元整</v>
      </c>
      <c r="G119" s="3388"/>
      <c r="H119" s="3387" t="str">
        <f ca="1">NUMBERSTRING(INT(H118*10000),2)&amp;"元整"</f>
        <v>贰拾叁亿捌仟零伍拾玖万元整</v>
      </c>
      <c r="I119" s="3388"/>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24" t="s">
        <v>1893</v>
      </c>
      <c r="B121" s="3425"/>
      <c r="C121" s="3426"/>
      <c r="D121" s="3387" t="str">
        <f>IF(D120=0,"零元整",NUMBERSTRING(INT(D120*10000),2)&amp;"元整")</f>
        <v>零元整</v>
      </c>
      <c r="E121" s="3389"/>
      <c r="F121" s="3389"/>
      <c r="G121" s="3389"/>
      <c r="H121" s="3389"/>
      <c r="I121" s="3388"/>
      <c r="AA121" s="734"/>
    </row>
    <row r="122" spans="1:27" ht="18.75" customHeight="1">
      <c r="A122" s="3393" t="str">
        <f>IF(项目基本情况!B9="房地产市场价值","",MID(E107,3,LEN(E107)-2))</f>
        <v>房地产抵押价值</v>
      </c>
      <c r="B122" s="3393"/>
      <c r="C122" s="3393"/>
      <c r="D122" s="3382">
        <f ca="1">H107</f>
        <v>238059</v>
      </c>
      <c r="E122" s="3383"/>
      <c r="F122" s="3383"/>
      <c r="G122" s="3383"/>
      <c r="H122" s="3383"/>
      <c r="I122" s="3384"/>
      <c r="AA122" s="734"/>
    </row>
    <row r="123" spans="1:27" ht="18.75" customHeight="1">
      <c r="A123" s="3381" t="s">
        <v>1893</v>
      </c>
      <c r="B123" s="3381"/>
      <c r="C123" s="3381"/>
      <c r="D123" s="3387" t="str">
        <f ca="1">NUMBERSTRING(INT(D122*10000),2)&amp;"元整"</f>
        <v>贰拾叁亿捌仟零伍拾玖万元整</v>
      </c>
      <c r="E123" s="3389"/>
      <c r="F123" s="3389"/>
      <c r="G123" s="3389"/>
      <c r="H123" s="3389"/>
      <c r="I123" s="3388"/>
      <c r="AA123" s="734"/>
    </row>
    <row r="124" spans="1:27" ht="18.75" customHeight="1">
      <c r="A124" s="3393" t="str">
        <f>IF(项目基本情况!B9="房地产市场价值","",MID(E109,3,LEN(E109)-2))</f>
        <v/>
      </c>
      <c r="B124" s="3393"/>
      <c r="C124" s="3393"/>
      <c r="D124" s="3382" t="str">
        <f>H109</f>
        <v>——</v>
      </c>
      <c r="E124" s="3383"/>
      <c r="F124" s="3383"/>
      <c r="G124" s="3383"/>
      <c r="H124" s="3383"/>
      <c r="I124" s="3384"/>
      <c r="AA124" s="734"/>
    </row>
    <row r="125" spans="1:27" ht="18.75" customHeight="1">
      <c r="A125" s="3381" t="s">
        <v>1893</v>
      </c>
      <c r="B125" s="3381"/>
      <c r="C125" s="3381"/>
      <c r="D125" s="3387" t="e">
        <f>NUMBERSTRING(INT(D124*10000),2)&amp;"元整"</f>
        <v>#VALUE!</v>
      </c>
      <c r="E125" s="3389"/>
      <c r="F125" s="3389"/>
      <c r="G125" s="3389"/>
      <c r="H125" s="3389"/>
      <c r="I125" s="3388"/>
      <c r="AA125" s="734"/>
    </row>
    <row r="126" spans="1:27" ht="18.75" customHeight="1">
      <c r="A126" s="3393" t="str">
        <f>IF(项目基本情况!B9="房地产市场价值","",MID(E111,3,LEN(E111)-2))</f>
        <v/>
      </c>
      <c r="B126" s="3393"/>
      <c r="C126" s="3393"/>
      <c r="D126" s="3382" t="str">
        <f>H111</f>
        <v>——</v>
      </c>
      <c r="E126" s="3383"/>
      <c r="F126" s="3383"/>
      <c r="G126" s="3383"/>
      <c r="H126" s="3383"/>
      <c r="I126" s="3384"/>
      <c r="AA126" s="734"/>
    </row>
    <row r="127" spans="1:27" ht="18.75" customHeight="1">
      <c r="A127" s="3381" t="s">
        <v>1893</v>
      </c>
      <c r="B127" s="3381"/>
      <c r="C127" s="3381"/>
      <c r="D127" s="3387" t="e">
        <f>NUMBERSTRING(INT(D126*10000),2)&amp;"元整"</f>
        <v>#VALUE!</v>
      </c>
      <c r="E127" s="3389"/>
      <c r="F127" s="3389"/>
      <c r="G127" s="3389"/>
      <c r="H127" s="3389"/>
      <c r="I127" s="3388"/>
      <c r="AA127" s="734"/>
    </row>
    <row r="128" spans="1:27" ht="21.75" customHeight="1">
      <c r="A128" s="3390" t="s">
        <v>1894</v>
      </c>
      <c r="B128" s="3390"/>
      <c r="C128" s="3390"/>
      <c r="D128" s="3390"/>
      <c r="E128" s="3390"/>
      <c r="F128" s="3390"/>
      <c r="G128" s="3390"/>
      <c r="H128" s="3390"/>
      <c r="I128" s="3390"/>
      <c r="AA128" s="734"/>
    </row>
    <row r="129" spans="1:35" ht="21.75" customHeight="1">
      <c r="A129" s="1968" t="s">
        <v>1895</v>
      </c>
      <c r="B129" s="1969"/>
      <c r="C129" s="1970" t="s">
        <v>1896</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1897</v>
      </c>
      <c r="G135" s="1985"/>
      <c r="H135" s="1985"/>
      <c r="I135" s="1986" t="s">
        <v>1898</v>
      </c>
    </row>
    <row r="136" spans="1:35" ht="21.75" customHeight="1">
      <c r="A136" s="734"/>
      <c r="B136" s="1987" t="s">
        <v>1899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1900</v>
      </c>
    </row>
    <row r="139" spans="1:35" ht="21.75" customHeight="1">
      <c r="A139" s="734"/>
      <c r="B139" s="1987" t="s">
        <v>1901</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1900</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57"/>
  <sheetViews>
    <sheetView view="pageBreakPreview" topLeftCell="B1" zoomScaleNormal="70" zoomScaleSheetLayoutView="100" workbookViewId="0">
      <selection activeCell="L22" sqref="L22:L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2" s="206" customFormat="1" ht="20.25">
      <c r="A1" s="202" t="s">
        <v>1902</v>
      </c>
      <c r="B1" s="1605"/>
      <c r="C1" s="204"/>
      <c r="D1" s="204"/>
      <c r="E1" s="204"/>
      <c r="F1" s="204"/>
      <c r="G1" s="1241">
        <f>MATCH(B1,'数据-取费表'!A6:A16,0)+5</f>
        <v>7</v>
      </c>
    </row>
    <row r="2" spans="1:12" s="206" customFormat="1" ht="18" customHeight="1">
      <c r="A2" s="207" t="s">
        <v>1903</v>
      </c>
      <c r="B2" s="208">
        <f ca="1">IF(D2="——",C52,C52-E2)</f>
        <v>305446</v>
      </c>
      <c r="C2" s="205" t="s">
        <v>1904</v>
      </c>
      <c r="D2" s="1990" t="s">
        <v>70</v>
      </c>
      <c r="E2" s="1284" t="e">
        <f ca="1">SUMIF(INDIRECT("'"&amp;G2&amp;"'"&amp;"!A:A"),"承租人权益价值",INDIRECT("'"&amp;G2&amp;"'"&amp;"!c:c"))</f>
        <v>#REF!</v>
      </c>
      <c r="F2" s="1991" t="s">
        <v>1904</v>
      </c>
      <c r="G2" s="1992"/>
    </row>
    <row r="3" spans="1:12" s="206" customFormat="1" ht="18" customHeight="1" thickBot="1">
      <c r="A3" s="209" t="s">
        <v>1905</v>
      </c>
      <c r="B3" s="210">
        <f ca="1">ROUND(B2*10000/(IF(B1="",'数据-汇总表'!E3,INDIRECT("'数据-取费表'!k"&amp;$G$1))),0)</f>
        <v>52392</v>
      </c>
      <c r="C3" s="205" t="s">
        <v>1906</v>
      </c>
      <c r="D3" s="205"/>
      <c r="E3" s="205"/>
      <c r="F3" s="205"/>
      <c r="G3" s="205"/>
    </row>
    <row r="4" spans="1:12" s="214" customFormat="1" ht="15.75">
      <c r="A4" s="211" t="s">
        <v>1907</v>
      </c>
      <c r="B4" s="212"/>
      <c r="C4" s="212"/>
      <c r="D4" s="212"/>
      <c r="E4" s="212"/>
      <c r="F4" s="212"/>
      <c r="G4" s="213"/>
    </row>
    <row r="5" spans="1:12" s="220" customFormat="1" ht="13.5" customHeight="1">
      <c r="A5" s="261" t="s">
        <v>1908</v>
      </c>
      <c r="B5" s="216" t="s">
        <v>1909</v>
      </c>
      <c r="C5" s="217">
        <f ca="1">C6+C7+C8</f>
        <v>162628</v>
      </c>
      <c r="D5" s="217" t="s">
        <v>1910</v>
      </c>
      <c r="E5" s="218" t="s">
        <v>1911</v>
      </c>
      <c r="F5" s="218" t="s">
        <v>1912</v>
      </c>
      <c r="G5" s="219"/>
      <c r="I5" s="3257"/>
      <c r="J5" s="3257" t="s">
        <v>3497</v>
      </c>
      <c r="K5" s="3257" t="s">
        <v>3498</v>
      </c>
      <c r="L5" s="3257" t="s">
        <v>3499</v>
      </c>
    </row>
    <row r="6" spans="1:12" s="220" customFormat="1" ht="13.5" customHeight="1">
      <c r="A6" s="867" t="s">
        <v>1913</v>
      </c>
      <c r="B6" s="221" t="s">
        <v>1914</v>
      </c>
      <c r="C6" s="222">
        <f>L10+M30</f>
        <v>156683</v>
      </c>
      <c r="D6" s="223"/>
      <c r="E6" s="224"/>
      <c r="F6" s="224"/>
      <c r="G6" s="225"/>
      <c r="I6" s="3257"/>
    </row>
    <row r="7" spans="1:12" s="220" customFormat="1" ht="13.5" customHeight="1">
      <c r="A7" s="867" t="s">
        <v>1915</v>
      </c>
      <c r="B7" s="221" t="s">
        <v>1916</v>
      </c>
      <c r="C7" s="226">
        <f>ROUND(C6*F7,0)</f>
        <v>4779</v>
      </c>
      <c r="D7" s="226"/>
      <c r="E7" s="224"/>
      <c r="F7" s="227">
        <f>IF(项目基本情况!B8="出让",0,'数据-取费表'!B48+'数据-取费表'!B49)</f>
        <v>3.0499999999999999E-2</v>
      </c>
      <c r="G7" s="225"/>
      <c r="I7" s="3257" t="s">
        <v>3529</v>
      </c>
      <c r="J7" s="220">
        <f>[3]基准地价修正!$C$42</f>
        <v>6546</v>
      </c>
      <c r="K7" s="220">
        <f>'数据-汇总表'!G19</f>
        <v>13173.5</v>
      </c>
      <c r="L7" s="220">
        <f>ROUND(J7*K7/10000,0)</f>
        <v>8623</v>
      </c>
    </row>
    <row r="8" spans="1:12" s="229" customFormat="1">
      <c r="A8" s="867" t="s">
        <v>1917</v>
      </c>
      <c r="B8" s="221" t="s">
        <v>1918</v>
      </c>
      <c r="C8" s="226">
        <f ca="1">IF(G8="已包含在土地购买价格中","0",IF(B1="",'数据-取费表'!B29,IF(G9="全部缴纳",C9+C10,H9)))</f>
        <v>1166</v>
      </c>
      <c r="D8" s="228"/>
      <c r="E8" s="226"/>
      <c r="F8" s="227"/>
      <c r="G8" s="1993" t="s">
        <v>3471</v>
      </c>
      <c r="L8" s="220">
        <f>ROUND(J8*K8/10000,0)</f>
        <v>0</v>
      </c>
    </row>
    <row r="9" spans="1:12" s="220" customFormat="1" ht="13.5" customHeight="1">
      <c r="A9" s="868" t="s">
        <v>619</v>
      </c>
      <c r="B9" s="230" t="s">
        <v>1919</v>
      </c>
      <c r="C9" s="231">
        <f ca="1">ROUND(D9*E9/10000,0)</f>
        <v>0</v>
      </c>
      <c r="D9" s="935">
        <f ca="1">IF(B1="",'数据-汇总表'!E5,IF(INDIRECT("'数据-取费表'!c"&amp;$G$1)="住宅",INDIRECT("'数据-取费表'!k"&amp;$G$1),0))</f>
        <v>0</v>
      </c>
      <c r="E9" s="231">
        <f>'数据-取费表'!B27</f>
        <v>160</v>
      </c>
      <c r="F9" s="227"/>
      <c r="G9" s="1994" t="s">
        <v>3496</v>
      </c>
      <c r="H9" s="1252"/>
      <c r="I9" s="3258"/>
      <c r="L9" s="220">
        <f>ROUND(J9*K9/10000,0)</f>
        <v>0</v>
      </c>
    </row>
    <row r="10" spans="1:12" s="220" customFormat="1" ht="13.5" customHeight="1">
      <c r="A10" s="868" t="s">
        <v>620</v>
      </c>
      <c r="B10" s="230" t="s">
        <v>1920</v>
      </c>
      <c r="C10" s="231">
        <f ca="1">ROUND(D10*E10/10000,0)</f>
        <v>1166</v>
      </c>
      <c r="D10" s="935">
        <f ca="1">IF(B1="",'数据-汇总表'!E6,IF(INDIRECT("'数据-取费表'!c"&amp;$G$1)="住宅",INDIRECT("'数据-取费表'!s"&amp;$G$1),INDIRECT("'数据-取费表'!k"&amp;$G$1)+INDIRECT("'数据-取费表'!s"&amp;$G$1)))</f>
        <v>58300.299999999996</v>
      </c>
      <c r="E10" s="231">
        <f>'数据-取费表'!B28</f>
        <v>200</v>
      </c>
      <c r="F10" s="227"/>
      <c r="G10" s="232"/>
      <c r="K10" s="220">
        <f>K7</f>
        <v>13173.5</v>
      </c>
      <c r="L10" s="220">
        <f>L6+L7+L8+L9</f>
        <v>8623</v>
      </c>
    </row>
    <row r="11" spans="1:12" s="220" customFormat="1" ht="13.5" hidden="1" customHeight="1">
      <c r="A11" s="233" t="s">
        <v>7</v>
      </c>
      <c r="B11" s="221" t="s">
        <v>1921</v>
      </c>
      <c r="C11" s="217"/>
      <c r="D11" s="937"/>
      <c r="E11" s="224"/>
      <c r="F11" s="224"/>
      <c r="G11" s="225"/>
    </row>
    <row r="12" spans="1:12" s="220" customFormat="1" ht="13.5" hidden="1" customHeight="1">
      <c r="A12" s="233" t="s">
        <v>8</v>
      </c>
      <c r="B12" s="221" t="s">
        <v>1922</v>
      </c>
      <c r="C12" s="217">
        <v>0</v>
      </c>
      <c r="D12" s="937"/>
      <c r="E12" s="234"/>
      <c r="F12" s="227">
        <v>3.0499999999999999E-2</v>
      </c>
      <c r="G12" s="225"/>
    </row>
    <row r="13" spans="1:12" s="220" customFormat="1" ht="13.5" hidden="1" customHeight="1">
      <c r="A13" s="233" t="s">
        <v>9</v>
      </c>
      <c r="B13" s="221" t="s">
        <v>1923</v>
      </c>
      <c r="C13" s="217"/>
      <c r="D13" s="937"/>
      <c r="E13" s="224"/>
      <c r="F13" s="224"/>
      <c r="G13" s="225"/>
    </row>
    <row r="14" spans="1:12" s="220" customFormat="1" ht="13.5" hidden="1" customHeight="1">
      <c r="A14" s="233" t="s">
        <v>10</v>
      </c>
      <c r="B14" s="221" t="s">
        <v>1924</v>
      </c>
      <c r="C14" s="217"/>
      <c r="D14" s="937"/>
      <c r="E14" s="224"/>
      <c r="F14" s="224"/>
      <c r="G14" s="225" t="s">
        <v>1925</v>
      </c>
    </row>
    <row r="15" spans="1:12" s="220" customFormat="1" ht="13.5" hidden="1" customHeight="1">
      <c r="A15" s="233" t="s">
        <v>11</v>
      </c>
      <c r="B15" s="221" t="s">
        <v>1926</v>
      </c>
      <c r="C15" s="226"/>
      <c r="D15" s="937"/>
      <c r="E15" s="224"/>
      <c r="F15" s="224"/>
      <c r="G15" s="225" t="s">
        <v>1927</v>
      </c>
    </row>
    <row r="16" spans="1:12" s="220" customFormat="1" ht="13.5" hidden="1" customHeight="1">
      <c r="A16" s="233" t="s">
        <v>12</v>
      </c>
      <c r="B16" s="221" t="s">
        <v>1924</v>
      </c>
      <c r="C16" s="226"/>
      <c r="D16" s="937"/>
      <c r="E16" s="224"/>
      <c r="F16" s="224"/>
      <c r="G16" s="225"/>
    </row>
    <row r="17" spans="1:13" s="220" customFormat="1" ht="13.5" hidden="1" customHeight="1">
      <c r="A17" s="233" t="s">
        <v>13</v>
      </c>
      <c r="B17" s="221" t="s">
        <v>1928</v>
      </c>
      <c r="C17" s="235"/>
      <c r="D17" s="938"/>
      <c r="E17" s="235"/>
      <c r="F17" s="235"/>
      <c r="G17" s="225" t="s">
        <v>1927</v>
      </c>
    </row>
    <row r="18" spans="1:13" s="220" customFormat="1" ht="13.5" hidden="1" customHeight="1">
      <c r="A18" s="233" t="s">
        <v>14</v>
      </c>
      <c r="B18" s="221" t="s">
        <v>1929</v>
      </c>
      <c r="C18" s="226">
        <v>0</v>
      </c>
      <c r="D18" s="937"/>
      <c r="E18" s="224"/>
      <c r="F18" s="227">
        <v>3.0499999999999999E-2</v>
      </c>
      <c r="G18" s="225" t="s">
        <v>1930</v>
      </c>
    </row>
    <row r="19" spans="1:13" s="229" customFormat="1" ht="13.5" customHeight="1">
      <c r="A19" s="261" t="s">
        <v>1931</v>
      </c>
      <c r="B19" s="216" t="s">
        <v>1932</v>
      </c>
      <c r="C19" s="217" t="str">
        <f>IF(G19="已包含在土地取得成本中","0",ROUND(D19*E19/10000,0))</f>
        <v>0</v>
      </c>
      <c r="D19" s="939">
        <f ca="1">D9+D10</f>
        <v>58300.299999999996</v>
      </c>
      <c r="E19" s="217">
        <f>'数据-取费表'!B31</f>
        <v>200</v>
      </c>
      <c r="F19" s="237"/>
      <c r="G19" s="1993" t="s">
        <v>3470</v>
      </c>
    </row>
    <row r="20" spans="1:13" s="220" customFormat="1" ht="13.5" customHeight="1">
      <c r="A20" s="261" t="s">
        <v>1933</v>
      </c>
      <c r="B20" s="216" t="s">
        <v>1934</v>
      </c>
      <c r="C20" s="238">
        <f ca="1">ROUND((C5+C19)*F20,0)</f>
        <v>4879</v>
      </c>
      <c r="D20" s="238"/>
      <c r="E20" s="238"/>
      <c r="F20" s="239">
        <f>'数据-取费表'!B37</f>
        <v>0.03</v>
      </c>
      <c r="G20" s="240" t="s">
        <v>1935</v>
      </c>
    </row>
    <row r="21" spans="1:13" s="220" customFormat="1" ht="13.5" customHeight="1">
      <c r="A21" s="261" t="s">
        <v>1936</v>
      </c>
      <c r="B21" s="216" t="s">
        <v>1937</v>
      </c>
      <c r="C21" s="241">
        <f>F21</f>
        <v>0.03</v>
      </c>
      <c r="D21" s="242" t="s">
        <v>1938</v>
      </c>
      <c r="E21" s="238"/>
      <c r="F21" s="239">
        <f>'数据-取费表'!B38</f>
        <v>0.03</v>
      </c>
      <c r="G21" s="240" t="s">
        <v>1939</v>
      </c>
      <c r="I21" s="220" t="s">
        <v>3522</v>
      </c>
      <c r="J21" s="220" t="s">
        <v>3523</v>
      </c>
      <c r="K21" s="220" t="s">
        <v>3524</v>
      </c>
      <c r="L21" s="220" t="s">
        <v>3525</v>
      </c>
      <c r="M21" s="220" t="s">
        <v>3526</v>
      </c>
    </row>
    <row r="22" spans="1:13" s="220" customFormat="1" ht="13.5" customHeight="1">
      <c r="A22" s="261" t="s">
        <v>1940</v>
      </c>
      <c r="B22" s="216" t="s">
        <v>1941</v>
      </c>
      <c r="C22" s="1217">
        <f ca="1">ROUND(SUM(C23:C25),0)</f>
        <v>21675</v>
      </c>
      <c r="D22" s="241">
        <f ca="1">C26</f>
        <v>1.9E-3</v>
      </c>
      <c r="E22" s="242" t="s">
        <v>1938</v>
      </c>
      <c r="F22" s="243">
        <f ca="1">'数据-取费表'!B40</f>
        <v>4.2000000000000003E-2</v>
      </c>
      <c r="G22" s="240" t="str">
        <f>IF('数据-取费表'!B22&lt;=1,"单利计息","复利计息")</f>
        <v>复利计息</v>
      </c>
      <c r="H22" s="220">
        <f>'数据-汇总表'!F19-大厦及北里!E34</f>
        <v>45056.7</v>
      </c>
      <c r="I22" s="220">
        <v>1</v>
      </c>
      <c r="J22" s="220">
        <v>1.5206</v>
      </c>
      <c r="K22" s="220">
        <v>48118</v>
      </c>
      <c r="L22" s="220">
        <f>ROUND(H22/8,2)+大厦及北里!E34</f>
        <v>5702.1900000000005</v>
      </c>
      <c r="M22" s="220">
        <f>ROUND(K22*L22/10000,0)</f>
        <v>27438</v>
      </c>
    </row>
    <row r="23" spans="1:13" s="220" customFormat="1" ht="13.5" customHeight="1">
      <c r="A23" s="869" t="s">
        <v>1942</v>
      </c>
      <c r="B23" s="221" t="s">
        <v>1943</v>
      </c>
      <c r="C23" s="1218">
        <f ca="1">ROUND(IF('数据-取费表'!B22&lt;=1,C5*F22*'数据-取费表'!B23,C5*(POWER((1+F22),'数据-取费表'!B23)-1)),0)</f>
        <v>21364</v>
      </c>
      <c r="D23" s="244"/>
      <c r="E23" s="244"/>
      <c r="F23" s="245"/>
      <c r="G23" s="246" t="s">
        <v>1944</v>
      </c>
      <c r="I23" s="220">
        <v>2</v>
      </c>
      <c r="J23" s="220">
        <v>1.2072000000000001</v>
      </c>
      <c r="K23" s="220">
        <v>38201</v>
      </c>
      <c r="L23" s="220">
        <f>ROUND(H22/8,2)</f>
        <v>5632.09</v>
      </c>
      <c r="M23" s="220">
        <f>ROUND(K23*L23/10000,0)</f>
        <v>21515</v>
      </c>
    </row>
    <row r="24" spans="1:13" s="220" customFormat="1" ht="13.5" customHeight="1">
      <c r="A24" s="869" t="s">
        <v>1945</v>
      </c>
      <c r="B24" s="221" t="s">
        <v>1946</v>
      </c>
      <c r="C24" s="1218">
        <f ca="1">ROUND(IF('数据-取费表'!B22&lt;=1,C19*F22*('数据-取费表'!B19/2+'数据-取费表'!B21),C19*(POWER((1+F22),('数据-取费表'!B19/2+'数据-取费表'!B21))-1)),0)</f>
        <v>0</v>
      </c>
      <c r="D24" s="244"/>
      <c r="E24" s="244"/>
      <c r="F24" s="245"/>
      <c r="G24" s="246" t="s">
        <v>1947</v>
      </c>
      <c r="I24" s="220">
        <v>3</v>
      </c>
      <c r="J24" s="220">
        <v>1.0430999999999999</v>
      </c>
      <c r="K24" s="220">
        <v>33008</v>
      </c>
      <c r="L24" s="220">
        <f>$L$23</f>
        <v>5632.09</v>
      </c>
      <c r="M24" s="220">
        <f t="shared" ref="M24:M29" si="0">ROUND(K24*L24/10000,0)</f>
        <v>18590</v>
      </c>
    </row>
    <row r="25" spans="1:13" s="220" customFormat="1" ht="24">
      <c r="A25" s="869" t="s">
        <v>1948</v>
      </c>
      <c r="B25" s="221" t="s">
        <v>1949</v>
      </c>
      <c r="C25" s="1218">
        <f ca="1">ROUND(IF('数据-取费表'!B22&lt;=1,C20*F22*'数据-取费表'!B23/2,C20*(POWER((1+F22),'数据-取费表'!B23/2)-1)),0)</f>
        <v>311</v>
      </c>
      <c r="D25" s="244"/>
      <c r="E25" s="247"/>
      <c r="F25" s="245"/>
      <c r="G25" s="248" t="s">
        <v>1950</v>
      </c>
      <c r="I25" s="220">
        <v>4</v>
      </c>
      <c r="J25" s="220">
        <v>0.94389999999999996</v>
      </c>
      <c r="K25" s="220">
        <v>29869</v>
      </c>
      <c r="L25" s="220">
        <f>L23</f>
        <v>5632.09</v>
      </c>
      <c r="M25" s="220">
        <f t="shared" si="0"/>
        <v>16822</v>
      </c>
    </row>
    <row r="26" spans="1:13" s="220" customFormat="1">
      <c r="A26" s="869" t="s">
        <v>614</v>
      </c>
      <c r="B26" s="221" t="s">
        <v>1951</v>
      </c>
      <c r="C26" s="244">
        <f ca="1">ROUND(IF('数据-取费表'!B22&lt;=1,F21*F22*'数据-取费表'!B23/2,F21*(POWER((1+F22),'数据-取费表'!B23/2)-1)),4)</f>
        <v>1.9E-3</v>
      </c>
      <c r="D26" s="244"/>
      <c r="E26" s="247"/>
      <c r="F26" s="245"/>
      <c r="G26" s="249"/>
      <c r="I26" s="220">
        <v>5</v>
      </c>
      <c r="J26" s="220">
        <v>0.89959999999999996</v>
      </c>
      <c r="K26" s="220">
        <v>28467</v>
      </c>
      <c r="L26" s="220">
        <f>L23</f>
        <v>5632.09</v>
      </c>
      <c r="M26" s="220">
        <f t="shared" si="0"/>
        <v>16033</v>
      </c>
    </row>
    <row r="27" spans="1:13" s="220" customFormat="1" ht="24.75">
      <c r="A27" s="261" t="s">
        <v>1952</v>
      </c>
      <c r="B27" s="250" t="s">
        <v>1953</v>
      </c>
      <c r="C27" s="251">
        <f ca="1">C28</f>
        <v>41877</v>
      </c>
      <c r="D27" s="241">
        <f ca="1">C29</f>
        <v>7.4999999999999997E-3</v>
      </c>
      <c r="E27" s="242" t="s">
        <v>1954</v>
      </c>
      <c r="F27" s="252">
        <f ca="1">IF(B1="",'数据-取费表'!Q16,INDIRECT("'数据-取费表'!q"&amp;$G$1))</f>
        <v>0.25</v>
      </c>
      <c r="G27" s="253" t="s">
        <v>1955</v>
      </c>
      <c r="I27" s="220">
        <v>6</v>
      </c>
      <c r="J27" s="220">
        <v>0.89219999999999999</v>
      </c>
      <c r="K27" s="220">
        <v>28233</v>
      </c>
      <c r="L27" s="220">
        <f>L23</f>
        <v>5632.09</v>
      </c>
      <c r="M27" s="220">
        <f t="shared" si="0"/>
        <v>15901</v>
      </c>
    </row>
    <row r="28" spans="1:13" s="220" customFormat="1" ht="13.5" customHeight="1">
      <c r="A28" s="869" t="s">
        <v>610</v>
      </c>
      <c r="B28" s="254" t="s">
        <v>1956</v>
      </c>
      <c r="C28" s="255">
        <f ca="1">ROUND((C5+C19+C20)*F27*'数据-取费表'!B21/'数据-取费表'!B20,0)</f>
        <v>41877</v>
      </c>
      <c r="D28" s="241"/>
      <c r="E28" s="242"/>
      <c r="F28" s="252"/>
      <c r="G28" s="253"/>
      <c r="I28" s="220">
        <v>7</v>
      </c>
      <c r="J28" s="220">
        <v>0.89149999999999996</v>
      </c>
      <c r="K28" s="220">
        <v>28211</v>
      </c>
      <c r="L28" s="220">
        <f>L23</f>
        <v>5632.09</v>
      </c>
      <c r="M28" s="220">
        <f t="shared" si="0"/>
        <v>15889</v>
      </c>
    </row>
    <row r="29" spans="1:13" s="220" customFormat="1" ht="13.5" customHeight="1">
      <c r="A29" s="869" t="s">
        <v>611</v>
      </c>
      <c r="B29" s="254" t="s">
        <v>1957</v>
      </c>
      <c r="C29" s="244">
        <f ca="1">ROUND(C21*F27*'数据-取费表'!B21/'数据-取费表'!B20,4)</f>
        <v>7.4999999999999997E-3</v>
      </c>
      <c r="D29" s="241"/>
      <c r="E29" s="242"/>
      <c r="F29" s="252"/>
      <c r="G29" s="253"/>
      <c r="I29" s="220">
        <v>8</v>
      </c>
      <c r="J29" s="220">
        <v>0.89059999999999995</v>
      </c>
      <c r="K29" s="220">
        <v>28182</v>
      </c>
      <c r="L29" s="220">
        <f>'数据-汇总表'!F19-SUM(L22:L28)</f>
        <v>5632.07</v>
      </c>
      <c r="M29" s="220">
        <f t="shared" si="0"/>
        <v>15872</v>
      </c>
    </row>
    <row r="30" spans="1:13" s="220" customFormat="1" ht="13.5" customHeight="1">
      <c r="A30" s="261" t="s">
        <v>1958</v>
      </c>
      <c r="B30" s="216" t="s">
        <v>1959</v>
      </c>
      <c r="C30" s="241">
        <f>ROUND(F30/(1+'数据-取费表'!C42),4)</f>
        <v>5.33E-2</v>
      </c>
      <c r="D30" s="242" t="s">
        <v>1954</v>
      </c>
      <c r="E30" s="247"/>
      <c r="F30" s="243">
        <f>'数据-取费表'!B41</f>
        <v>5.6000000000000001E-2</v>
      </c>
      <c r="G30" s="240" t="s">
        <v>1960</v>
      </c>
      <c r="H30" s="220">
        <f>L30+K10</f>
        <v>58300.299999999996</v>
      </c>
      <c r="L30" s="220">
        <f>SUM(L22:L29)</f>
        <v>45126.799999999996</v>
      </c>
      <c r="M30" s="220">
        <f>SUM(M22:M29)</f>
        <v>148060</v>
      </c>
    </row>
    <row r="31" spans="1:13" ht="16.5" customHeight="1">
      <c r="A31" s="215">
        <v>1</v>
      </c>
      <c r="B31" s="216" t="s">
        <v>1961</v>
      </c>
      <c r="C31" s="217">
        <f ca="1">ROUND((C5+C19+C20+C22+C27)/(1-C21-D22-D27-C30),0)</f>
        <v>254667</v>
      </c>
      <c r="D31" s="236"/>
      <c r="E31" s="217"/>
      <c r="F31" s="256"/>
      <c r="G31" s="240" t="s">
        <v>1962</v>
      </c>
    </row>
    <row r="32" spans="1:13" s="214" customFormat="1" ht="15.75">
      <c r="A32" s="258" t="s">
        <v>1963</v>
      </c>
      <c r="B32" s="259"/>
      <c r="C32" s="259"/>
      <c r="D32" s="259"/>
      <c r="E32" s="259"/>
      <c r="F32" s="259"/>
      <c r="G32" s="260"/>
    </row>
    <row r="33" spans="1:7" s="220" customFormat="1" ht="13.5" customHeight="1">
      <c r="A33" s="261" t="s">
        <v>601</v>
      </c>
      <c r="B33" s="216" t="s">
        <v>1964</v>
      </c>
      <c r="C33" s="262">
        <f ca="1">SUM(C34:C38)</f>
        <v>41524</v>
      </c>
      <c r="D33" s="238"/>
      <c r="E33" s="218"/>
      <c r="F33" s="247"/>
      <c r="G33" s="240"/>
    </row>
    <row r="34" spans="1:7" s="264" customFormat="1" ht="13.5" customHeight="1">
      <c r="A34" s="869" t="s">
        <v>610</v>
      </c>
      <c r="B34" s="221" t="s">
        <v>1965</v>
      </c>
      <c r="C34" s="226">
        <f ca="1">IF(B1="",IF(F34=100%,'数据-取费表'!M16,'数据-取费表'!O16),IF(F34=100%,INDIRECT("'数据-取费表'!m"&amp;$G$1)+INDIRECT("'数据-取费表'!t"&amp;$G$1),INDIRECT("'数据-取费表'!o"&amp;$G$1)+INDIRECT("'数据-取费表'!aq"&amp;$G$1)))</f>
        <v>37895</v>
      </c>
      <c r="D34" s="223"/>
      <c r="E34" s="226"/>
      <c r="F34" s="263">
        <f ca="1">IF('数据-取费表'!B24=0,1,IF(B1="",'数据-取费表'!N16,INDIRECT("'数据-取费表'!n"&amp;$G$1)))</f>
        <v>1</v>
      </c>
      <c r="G34" s="225" t="s">
        <v>1966</v>
      </c>
    </row>
    <row r="35" spans="1:7" ht="13.5" customHeight="1">
      <c r="A35" s="869" t="s">
        <v>615</v>
      </c>
      <c r="B35" s="221" t="s">
        <v>1967</v>
      </c>
      <c r="C35" s="226">
        <f ca="1">ROUND(C34*F35,0)</f>
        <v>1895</v>
      </c>
      <c r="D35" s="226"/>
      <c r="E35" s="226"/>
      <c r="F35" s="265">
        <f>'数据-取费表'!B33</f>
        <v>0.05</v>
      </c>
      <c r="G35" s="225" t="s">
        <v>1968</v>
      </c>
    </row>
    <row r="36" spans="1:7" ht="24">
      <c r="A36" s="869" t="s">
        <v>616</v>
      </c>
      <c r="B36" s="221" t="s">
        <v>1969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1970</v>
      </c>
    </row>
    <row r="37" spans="1:7" s="264" customFormat="1" ht="13.5" customHeight="1">
      <c r="A37" s="869" t="s">
        <v>617</v>
      </c>
      <c r="B37" s="221" t="s">
        <v>1971</v>
      </c>
      <c r="C37" s="255">
        <f ca="1">ROUND(E37*D37*F34/10000,0)</f>
        <v>1166</v>
      </c>
      <c r="D37" s="223">
        <f ca="1">D19</f>
        <v>58300.299999999996</v>
      </c>
      <c r="E37" s="255">
        <f>'数据-取费表'!B35</f>
        <v>200</v>
      </c>
      <c r="F37" s="265"/>
      <c r="G37" s="267" t="s">
        <v>1972</v>
      </c>
    </row>
    <row r="38" spans="1:7" ht="13.5" customHeight="1">
      <c r="A38" s="869" t="s">
        <v>618</v>
      </c>
      <c r="B38" s="221" t="s">
        <v>1973</v>
      </c>
      <c r="C38" s="226">
        <f ca="1">ROUND(C34*F38,0)</f>
        <v>568</v>
      </c>
      <c r="D38" s="226"/>
      <c r="E38" s="226"/>
      <c r="F38" s="265">
        <f>'数据-取费表'!B36</f>
        <v>1.4999999999999999E-2</v>
      </c>
      <c r="G38" s="225" t="s">
        <v>1968</v>
      </c>
    </row>
    <row r="39" spans="1:7" s="220" customFormat="1" ht="13.5" customHeight="1">
      <c r="A39" s="261" t="s">
        <v>1974</v>
      </c>
      <c r="B39" s="216" t="s">
        <v>1975</v>
      </c>
      <c r="C39" s="238">
        <f ca="1">ROUND(C33*F20,0)</f>
        <v>1246</v>
      </c>
      <c r="D39" s="238"/>
      <c r="E39" s="238"/>
      <c r="F39" s="2485">
        <f>F20</f>
        <v>0.03</v>
      </c>
      <c r="G39" s="240" t="s">
        <v>1976</v>
      </c>
    </row>
    <row r="40" spans="1:7" s="220" customFormat="1" ht="13.5" customHeight="1">
      <c r="A40" s="261" t="s">
        <v>1977</v>
      </c>
      <c r="B40" s="216" t="s">
        <v>1978</v>
      </c>
      <c r="C40" s="1448">
        <f>F21</f>
        <v>0.03</v>
      </c>
      <c r="D40" s="242" t="s">
        <v>1979</v>
      </c>
      <c r="E40" s="238"/>
      <c r="F40" s="2485">
        <f>F21</f>
        <v>0.03</v>
      </c>
      <c r="G40" s="240" t="s">
        <v>1980</v>
      </c>
    </row>
    <row r="41" spans="1:7" s="220" customFormat="1" ht="13.5" customHeight="1">
      <c r="A41" s="261" t="s">
        <v>1981</v>
      </c>
      <c r="B41" s="216" t="s">
        <v>1982</v>
      </c>
      <c r="C41" s="238">
        <f ca="1">ROUND(SUM(C42:C43),0)</f>
        <v>2722</v>
      </c>
      <c r="D41" s="241">
        <f ca="1">C44</f>
        <v>1.9E-3</v>
      </c>
      <c r="E41" s="242" t="s">
        <v>1979</v>
      </c>
      <c r="F41" s="2486">
        <f ca="1">F22</f>
        <v>4.2000000000000003E-2</v>
      </c>
      <c r="G41" s="240" t="str">
        <f>IF('数据-取费表'!B22&lt;=1,"单利计息","复利计息")</f>
        <v>复利计息</v>
      </c>
    </row>
    <row r="42" spans="1:7" ht="13.5" customHeight="1">
      <c r="A42" s="869" t="s">
        <v>610</v>
      </c>
      <c r="B42" s="221" t="s">
        <v>1983</v>
      </c>
      <c r="C42" s="244">
        <f ca="1">ROUND(IF('数据-取费表'!B22&lt;=1,C33*F22*'数据-取费表'!B21/2,C33*(POWER((1+F22),'数据-取费表'!B21/2)-1)),0)</f>
        <v>2643</v>
      </c>
      <c r="D42" s="244"/>
      <c r="E42" s="244"/>
      <c r="F42" s="245"/>
      <c r="G42" s="3463" t="s">
        <v>1984</v>
      </c>
    </row>
    <row r="43" spans="1:7" ht="13.5" customHeight="1">
      <c r="A43" s="869" t="s">
        <v>611</v>
      </c>
      <c r="B43" s="221" t="s">
        <v>1985</v>
      </c>
      <c r="C43" s="244">
        <f ca="1">ROUND(IF('数据-取费表'!B22&lt;=1,C39*F22*'数据-取费表'!B21/2,C39*(POWER((1+F22),'数据-取费表'!B21/2)-1)),0)</f>
        <v>79</v>
      </c>
      <c r="D43" s="244"/>
      <c r="E43" s="244"/>
      <c r="F43" s="245"/>
      <c r="G43" s="3464"/>
    </row>
    <row r="44" spans="1:7" ht="13.5" customHeight="1">
      <c r="A44" s="869" t="s">
        <v>612</v>
      </c>
      <c r="B44" s="221" t="s">
        <v>1986</v>
      </c>
      <c r="C44" s="244">
        <f ca="1">ROUND(IF('数据-取费表'!B22&lt;=1,C40*F22*'数据-取费表'!B21/2,C40*(POWER((1+F22),'数据-取费表'!B21/2)-1)),4)</f>
        <v>1.9E-3</v>
      </c>
      <c r="D44" s="244"/>
      <c r="E44" s="244"/>
      <c r="F44" s="245"/>
      <c r="G44" s="3465"/>
    </row>
    <row r="45" spans="1:7" s="220" customFormat="1" ht="13.5" customHeight="1">
      <c r="A45" s="261" t="s">
        <v>1987</v>
      </c>
      <c r="B45" s="250" t="s">
        <v>1953</v>
      </c>
      <c r="C45" s="251">
        <f ca="1">C46</f>
        <v>10693</v>
      </c>
      <c r="D45" s="241">
        <f ca="1">C47</f>
        <v>7.4999999999999997E-3</v>
      </c>
      <c r="E45" s="242" t="s">
        <v>1979</v>
      </c>
      <c r="F45" s="2487">
        <f ca="1">F27</f>
        <v>0.25</v>
      </c>
      <c r="G45" s="253" t="s">
        <v>1988</v>
      </c>
    </row>
    <row r="46" spans="1:7" s="220" customFormat="1" ht="13.5" customHeight="1">
      <c r="A46" s="869" t="s">
        <v>610</v>
      </c>
      <c r="B46" s="254" t="s">
        <v>1989</v>
      </c>
      <c r="C46" s="255">
        <f ca="1">ROUND((C33+C39)*F27,0)</f>
        <v>10693</v>
      </c>
      <c r="D46" s="269"/>
      <c r="E46" s="242"/>
      <c r="F46" s="252"/>
      <c r="G46" s="253"/>
    </row>
    <row r="47" spans="1:7" s="220" customFormat="1" ht="13.5" customHeight="1">
      <c r="A47" s="869" t="s">
        <v>611</v>
      </c>
      <c r="B47" s="254" t="s">
        <v>1990</v>
      </c>
      <c r="C47" s="244">
        <f ca="1">ROUND(C40*F27,4)</f>
        <v>7.4999999999999997E-3</v>
      </c>
      <c r="D47" s="269"/>
      <c r="E47" s="242"/>
      <c r="F47" s="252"/>
      <c r="G47" s="253"/>
    </row>
    <row r="48" spans="1:7" s="220" customFormat="1" ht="13.5" customHeight="1">
      <c r="A48" s="261" t="s">
        <v>1952</v>
      </c>
      <c r="B48" s="216" t="s">
        <v>1991</v>
      </c>
      <c r="C48" s="1448">
        <f>ROUND(F30/(1+'数据-取费表'!C42),4)</f>
        <v>5.33E-2</v>
      </c>
      <c r="D48" s="242" t="s">
        <v>1979</v>
      </c>
      <c r="E48" s="238"/>
      <c r="F48" s="2486">
        <f>F30</f>
        <v>5.6000000000000001E-2</v>
      </c>
      <c r="G48" s="240" t="s">
        <v>1992</v>
      </c>
    </row>
    <row r="49" spans="1:7" ht="16.5" customHeight="1">
      <c r="A49" s="261" t="s">
        <v>1958</v>
      </c>
      <c r="B49" s="216" t="s">
        <v>1993</v>
      </c>
      <c r="C49" s="238">
        <f ca="1">ROUND((C33+C39+C41+C45)/(1-C40-D41-D45-C48),0)</f>
        <v>61925</v>
      </c>
      <c r="D49" s="238"/>
      <c r="E49" s="238"/>
      <c r="F49" s="270"/>
      <c r="G49" s="240" t="s">
        <v>1994</v>
      </c>
    </row>
    <row r="50" spans="1:7" s="264" customFormat="1" ht="24">
      <c r="A50" s="261" t="s">
        <v>1995</v>
      </c>
      <c r="B50" s="216" t="s">
        <v>1996</v>
      </c>
      <c r="C50" s="238"/>
      <c r="D50" s="238"/>
      <c r="E50" s="238"/>
      <c r="F50" s="270">
        <f>IF('数据-取费表'!B24=0,'数据-取费表'!N16,1)</f>
        <v>0.82</v>
      </c>
      <c r="G50" s="253" t="s">
        <v>1997</v>
      </c>
    </row>
    <row r="51" spans="1:7" ht="16.5" customHeight="1">
      <c r="A51" s="261" t="s">
        <v>1998</v>
      </c>
      <c r="B51" s="216" t="s">
        <v>1999</v>
      </c>
      <c r="C51" s="238">
        <f ca="1">ROUND(C49*F50,0)</f>
        <v>50779</v>
      </c>
      <c r="D51" s="238"/>
      <c r="E51" s="238"/>
      <c r="F51" s="270"/>
      <c r="G51" s="240" t="s">
        <v>2000</v>
      </c>
    </row>
    <row r="52" spans="1:7" s="214" customFormat="1" ht="16.5" thickBot="1">
      <c r="A52" s="271" t="s">
        <v>2001</v>
      </c>
      <c r="B52" s="272"/>
      <c r="C52" s="273">
        <f ca="1">C31+C51</f>
        <v>305446</v>
      </c>
      <c r="D52" s="272"/>
      <c r="E52" s="272"/>
      <c r="F52" s="272"/>
      <c r="G52" s="274"/>
    </row>
    <row r="55" spans="1:7" ht="15">
      <c r="B55" s="276" t="s">
        <v>2002</v>
      </c>
      <c r="C55" s="277"/>
    </row>
    <row r="56" spans="1:7">
      <c r="B56" s="279" t="s">
        <v>1233</v>
      </c>
      <c r="C56" s="281">
        <f ca="1">1-C57</f>
        <v>0.83399999999999996</v>
      </c>
    </row>
    <row r="57" spans="1:7">
      <c r="B57" s="279" t="s">
        <v>1234</v>
      </c>
      <c r="C57" s="280">
        <f ca="1">ROUND(C51/C52,3)</f>
        <v>0.16600000000000001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1902</v>
      </c>
      <c r="B1" s="1605"/>
      <c r="C1" s="1995" t="s">
        <v>2003</v>
      </c>
      <c r="D1" s="204"/>
      <c r="E1" s="204"/>
      <c r="F1" s="204"/>
      <c r="G1" s="1241">
        <f>MATCH(B1,'数据-取费表'!A6:A16,0)+5</f>
        <v>7</v>
      </c>
      <c r="H1" s="1173" t="str">
        <f>IF(ISERROR(FIND("住宅",B1)),"非住宅","住宅")</f>
        <v>非住宅</v>
      </c>
    </row>
    <row r="2" spans="1:8" s="206" customFormat="1" ht="18" customHeight="1">
      <c r="A2" s="207" t="s">
        <v>1903</v>
      </c>
      <c r="B2" s="208">
        <f ca="1">ROUND(IF(D2="——",C52/10000,C52/10000-E2),0)</f>
        <v>54431</v>
      </c>
      <c r="C2" s="205" t="s">
        <v>1904</v>
      </c>
      <c r="D2" s="1990" t="s">
        <v>70</v>
      </c>
      <c r="E2" s="1284" t="e">
        <f ca="1">SUMIF(INDIRECT("'"&amp;G2&amp;"'"&amp;"!A:A"),"承租人权益价值",INDIRECT("'"&amp;G2&amp;"'"&amp;"!c:c"))</f>
        <v>#REF!</v>
      </c>
      <c r="F2" s="1991" t="s">
        <v>1904</v>
      </c>
      <c r="G2" s="1992"/>
    </row>
    <row r="3" spans="1:8" s="206" customFormat="1" ht="18" customHeight="1" thickBot="1">
      <c r="A3" s="209" t="s">
        <v>1905</v>
      </c>
      <c r="B3" s="210">
        <f ca="1">ROUND(B2*10000/(IF(B1="",'数据-汇总表'!E3,INDIRECT("'数据-取费表'!k"&amp;$G$1))),0)</f>
        <v>9336</v>
      </c>
      <c r="C3" s="205" t="s">
        <v>1906</v>
      </c>
      <c r="D3" s="205"/>
      <c r="E3" s="205"/>
      <c r="F3" s="205"/>
      <c r="G3" s="205"/>
    </row>
    <row r="4" spans="1:8" s="214" customFormat="1" ht="15.75">
      <c r="A4" s="211" t="s">
        <v>1907</v>
      </c>
      <c r="B4" s="212"/>
      <c r="C4" s="212"/>
      <c r="D4" s="212"/>
      <c r="E4" s="212"/>
      <c r="F4" s="212"/>
      <c r="G4" s="213"/>
    </row>
    <row r="5" spans="1:8" s="220" customFormat="1" ht="13.5" customHeight="1">
      <c r="A5" s="261" t="s">
        <v>1908</v>
      </c>
      <c r="B5" s="216" t="s">
        <v>1909</v>
      </c>
      <c r="C5" s="217">
        <f ca="1">C6+C7+C8</f>
        <v>11660060</v>
      </c>
      <c r="D5" s="217" t="s">
        <v>1910</v>
      </c>
      <c r="E5" s="218" t="s">
        <v>1911</v>
      </c>
      <c r="F5" s="218" t="s">
        <v>1912</v>
      </c>
      <c r="G5" s="219"/>
    </row>
    <row r="6" spans="1:8" s="220" customFormat="1" ht="13.5" customHeight="1">
      <c r="A6" s="867" t="s">
        <v>1913</v>
      </c>
      <c r="B6" s="221" t="s">
        <v>1914</v>
      </c>
      <c r="C6" s="222"/>
      <c r="D6" s="223"/>
      <c r="E6" s="224"/>
      <c r="F6" s="224"/>
      <c r="G6" s="225"/>
    </row>
    <row r="7" spans="1:8" s="220" customFormat="1" ht="13.5" customHeight="1">
      <c r="A7" s="867" t="s">
        <v>1915</v>
      </c>
      <c r="B7" s="221" t="s">
        <v>1916</v>
      </c>
      <c r="C7" s="226">
        <f>ROUND(C6*F7,0)</f>
        <v>0</v>
      </c>
      <c r="D7" s="226"/>
      <c r="E7" s="224"/>
      <c r="F7" s="227">
        <f>IF(项目基本情况!B8="出让",0,'数据-取费表'!B48+'数据-取费表'!B49)</f>
        <v>3.0499999999999999E-2</v>
      </c>
      <c r="G7" s="225"/>
    </row>
    <row r="8" spans="1:8" s="229" customFormat="1">
      <c r="A8" s="867" t="s">
        <v>1917</v>
      </c>
      <c r="B8" s="221" t="s">
        <v>1918</v>
      </c>
      <c r="C8" s="226">
        <f ca="1">IF(G8="已包含在土地购买价格中",0,C9+C10)</f>
        <v>11660060</v>
      </c>
      <c r="D8" s="228"/>
      <c r="E8" s="226"/>
      <c r="F8" s="227"/>
      <c r="G8" s="1993"/>
    </row>
    <row r="9" spans="1:8" s="220" customFormat="1" ht="13.5" customHeight="1">
      <c r="A9" s="868" t="s">
        <v>619</v>
      </c>
      <c r="B9" s="230" t="s">
        <v>1919</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1920</v>
      </c>
      <c r="C10" s="231">
        <f ca="1">ROUND(D10*E10,0)</f>
        <v>11660060</v>
      </c>
      <c r="D10" s="935">
        <f ca="1">IF(B1="",'数据-汇总表'!E6,IF(INDIRECT("'数据-取费表'!c"&amp;$G$1)="住宅",INDIRECT("'数据-取费表'!s"&amp;$G$1),INDIRECT("'数据-取费表'!k"&amp;$G$1)+INDIRECT("'数据-取费表'!s"&amp;$G$1)))</f>
        <v>58300.299999999996</v>
      </c>
      <c r="E10" s="231">
        <f>'数据-取费表'!B28</f>
        <v>200</v>
      </c>
      <c r="F10" s="227"/>
      <c r="G10" s="232"/>
    </row>
    <row r="11" spans="1:8" s="220" customFormat="1" ht="13.5" hidden="1" customHeight="1">
      <c r="A11" s="233" t="s">
        <v>7</v>
      </c>
      <c r="B11" s="221" t="s">
        <v>1921</v>
      </c>
      <c r="C11" s="217"/>
      <c r="D11" s="937"/>
      <c r="E11" s="224"/>
      <c r="F11" s="224"/>
      <c r="G11" s="225"/>
    </row>
    <row r="12" spans="1:8" s="220" customFormat="1" ht="13.5" hidden="1" customHeight="1">
      <c r="A12" s="233" t="s">
        <v>8</v>
      </c>
      <c r="B12" s="221" t="s">
        <v>2004</v>
      </c>
      <c r="C12" s="217">
        <v>0</v>
      </c>
      <c r="D12" s="937"/>
      <c r="E12" s="234"/>
      <c r="F12" s="227">
        <v>3.0499999999999999E-2</v>
      </c>
      <c r="G12" s="225"/>
    </row>
    <row r="13" spans="1:8" s="220" customFormat="1" ht="13.5" hidden="1" customHeight="1">
      <c r="A13" s="233" t="s">
        <v>9</v>
      </c>
      <c r="B13" s="221" t="s">
        <v>2005</v>
      </c>
      <c r="C13" s="217"/>
      <c r="D13" s="937"/>
      <c r="E13" s="224"/>
      <c r="F13" s="224"/>
      <c r="G13" s="225"/>
    </row>
    <row r="14" spans="1:8" s="220" customFormat="1" ht="13.5" hidden="1" customHeight="1">
      <c r="A14" s="233" t="s">
        <v>10</v>
      </c>
      <c r="B14" s="221" t="s">
        <v>1918</v>
      </c>
      <c r="C14" s="217"/>
      <c r="D14" s="937"/>
      <c r="E14" s="224"/>
      <c r="F14" s="224"/>
      <c r="G14" s="225" t="s">
        <v>2006</v>
      </c>
    </row>
    <row r="15" spans="1:8" s="220" customFormat="1" ht="13.5" hidden="1" customHeight="1">
      <c r="A15" s="233" t="s">
        <v>11</v>
      </c>
      <c r="B15" s="221" t="s">
        <v>2007</v>
      </c>
      <c r="C15" s="226"/>
      <c r="D15" s="937"/>
      <c r="E15" s="224"/>
      <c r="F15" s="224"/>
      <c r="G15" s="225" t="s">
        <v>2008</v>
      </c>
    </row>
    <row r="16" spans="1:8" s="220" customFormat="1" ht="13.5" hidden="1" customHeight="1">
      <c r="A16" s="233" t="s">
        <v>12</v>
      </c>
      <c r="B16" s="221" t="s">
        <v>1918</v>
      </c>
      <c r="C16" s="226"/>
      <c r="D16" s="937"/>
      <c r="E16" s="224"/>
      <c r="F16" s="224"/>
      <c r="G16" s="225"/>
    </row>
    <row r="17" spans="1:7" s="220" customFormat="1" ht="13.5" hidden="1" customHeight="1">
      <c r="A17" s="233" t="s">
        <v>13</v>
      </c>
      <c r="B17" s="221" t="s">
        <v>2009</v>
      </c>
      <c r="C17" s="235"/>
      <c r="D17" s="938"/>
      <c r="E17" s="235"/>
      <c r="F17" s="235"/>
      <c r="G17" s="225" t="s">
        <v>2008</v>
      </c>
    </row>
    <row r="18" spans="1:7" s="220" customFormat="1" ht="13.5" hidden="1" customHeight="1">
      <c r="A18" s="233" t="s">
        <v>14</v>
      </c>
      <c r="B18" s="221" t="s">
        <v>2010</v>
      </c>
      <c r="C18" s="226">
        <v>0</v>
      </c>
      <c r="D18" s="937"/>
      <c r="E18" s="224"/>
      <c r="F18" s="227">
        <v>3.0499999999999999E-2</v>
      </c>
      <c r="G18" s="225" t="s">
        <v>2011</v>
      </c>
    </row>
    <row r="19" spans="1:7" s="229" customFormat="1" ht="13.5" customHeight="1">
      <c r="A19" s="261" t="s">
        <v>2012</v>
      </c>
      <c r="B19" s="216" t="s">
        <v>2013</v>
      </c>
      <c r="C19" s="217">
        <f ca="1">IF(G19="已包含在土地取得成本中","0",ROUND(D19*E19,0))</f>
        <v>11660060</v>
      </c>
      <c r="D19" s="939">
        <f ca="1">D9+D10</f>
        <v>58300.299999999996</v>
      </c>
      <c r="E19" s="217">
        <f>'数据-取费表'!B31</f>
        <v>200</v>
      </c>
      <c r="F19" s="237"/>
      <c r="G19" s="1993"/>
    </row>
    <row r="20" spans="1:7" s="220" customFormat="1" ht="13.5" customHeight="1">
      <c r="A20" s="261" t="s">
        <v>2014</v>
      </c>
      <c r="B20" s="216" t="s">
        <v>2015</v>
      </c>
      <c r="C20" s="238">
        <f ca="1">ROUND((C5+C19)*F20,0)</f>
        <v>699604</v>
      </c>
      <c r="D20" s="238"/>
      <c r="E20" s="238"/>
      <c r="F20" s="239">
        <f>'数据-取费表'!B37</f>
        <v>0.03</v>
      </c>
      <c r="G20" s="240" t="s">
        <v>2016</v>
      </c>
    </row>
    <row r="21" spans="1:7" s="220" customFormat="1" ht="13.5" customHeight="1">
      <c r="A21" s="261" t="s">
        <v>2017</v>
      </c>
      <c r="B21" s="216" t="s">
        <v>2018</v>
      </c>
      <c r="C21" s="241">
        <f>F21</f>
        <v>0.03</v>
      </c>
      <c r="D21" s="242" t="s">
        <v>2019</v>
      </c>
      <c r="E21" s="238"/>
      <c r="F21" s="239">
        <f>'数据-取费表'!B38</f>
        <v>0.03</v>
      </c>
      <c r="G21" s="240" t="s">
        <v>2020</v>
      </c>
    </row>
    <row r="22" spans="1:7" s="220" customFormat="1" ht="13.5" customHeight="1">
      <c r="A22" s="261" t="s">
        <v>2021</v>
      </c>
      <c r="B22" s="216" t="s">
        <v>2022</v>
      </c>
      <c r="C22" s="1242">
        <f ca="1">ROUND(SUM(C23:C25),0)</f>
        <v>3108007</v>
      </c>
      <c r="D22" s="241">
        <f ca="1">C26</f>
        <v>1.9E-3</v>
      </c>
      <c r="E22" s="242" t="s">
        <v>2019</v>
      </c>
      <c r="F22" s="243">
        <f ca="1">'数据-取费表'!B40</f>
        <v>4.2000000000000003E-2</v>
      </c>
      <c r="G22" s="240" t="str">
        <f>IF('数据-取费表'!B22&lt;=1,"单利计息","复利计息")</f>
        <v>复利计息</v>
      </c>
    </row>
    <row r="23" spans="1:7" s="220" customFormat="1" ht="13.5" customHeight="1">
      <c r="A23" s="869" t="s">
        <v>1913</v>
      </c>
      <c r="B23" s="221" t="s">
        <v>2023</v>
      </c>
      <c r="C23" s="1243">
        <f ca="1">ROUND(IF('数据-取费表'!B22&lt;=1,C5*F22*'数据-取费表'!B22,C5*(POWER((1+F22),'数据-取费表'!B22)-1)),0)</f>
        <v>1531736</v>
      </c>
      <c r="D23" s="244"/>
      <c r="E23" s="244"/>
      <c r="F23" s="245"/>
      <c r="G23" s="246" t="s">
        <v>2024</v>
      </c>
    </row>
    <row r="24" spans="1:7" s="220" customFormat="1" ht="13.5" customHeight="1">
      <c r="A24" s="869" t="s">
        <v>1915</v>
      </c>
      <c r="B24" s="221" t="s">
        <v>2025</v>
      </c>
      <c r="C24" s="1243">
        <f ca="1">ROUND(IF('数据-取费表'!B22&lt;=1,C19*F22*('数据-取费表'!B19/2+'数据-取费表'!B20),C19*(POWER((1+F22),('数据-取费表'!B19/2+'数据-取费表'!B20))-1)),0)</f>
        <v>1531736</v>
      </c>
      <c r="D24" s="244"/>
      <c r="E24" s="244"/>
      <c r="F24" s="245"/>
      <c r="G24" s="246" t="s">
        <v>2026</v>
      </c>
    </row>
    <row r="25" spans="1:7" s="220" customFormat="1" ht="24">
      <c r="A25" s="869" t="s">
        <v>1917</v>
      </c>
      <c r="B25" s="221" t="s">
        <v>2027</v>
      </c>
      <c r="C25" s="1243">
        <f ca="1">ROUND(IF('数据-取费表'!B22&lt;=1,C20*F22*'数据-取费表'!B22/2,C20*(POWER((1+F22),'数据-取费表'!B22/2)-1)),0)</f>
        <v>44535</v>
      </c>
      <c r="D25" s="244"/>
      <c r="E25" s="247"/>
      <c r="F25" s="245"/>
      <c r="G25" s="248" t="s">
        <v>2028</v>
      </c>
    </row>
    <row r="26" spans="1:7" s="220" customFormat="1">
      <c r="A26" s="869" t="s">
        <v>614</v>
      </c>
      <c r="B26" s="221" t="s">
        <v>1951</v>
      </c>
      <c r="C26" s="244">
        <f ca="1">ROUND(IF('数据-取费表'!B22&lt;=1,F21*F22*'数据-取费表'!B22/2,F21*(POWER((1+F22),'数据-取费表'!B22/2)-1)),4)</f>
        <v>1.9E-3</v>
      </c>
      <c r="D26" s="244"/>
      <c r="E26" s="247"/>
      <c r="F26" s="245"/>
      <c r="G26" s="249"/>
    </row>
    <row r="27" spans="1:7" s="220" customFormat="1" ht="24.75">
      <c r="A27" s="261" t="s">
        <v>1952</v>
      </c>
      <c r="B27" s="250" t="s">
        <v>1953</v>
      </c>
      <c r="C27" s="251">
        <f ca="1">C28</f>
        <v>6004931</v>
      </c>
      <c r="D27" s="241">
        <f ca="1">C29</f>
        <v>7.4999999999999997E-3</v>
      </c>
      <c r="E27" s="242" t="s">
        <v>1954</v>
      </c>
      <c r="F27" s="252">
        <f ca="1">IF(B1="",'数据-取费表'!Q16,INDIRECT("'数据-取费表'!q"&amp;$G$1))</f>
        <v>0.25</v>
      </c>
      <c r="G27" s="253" t="s">
        <v>1955</v>
      </c>
    </row>
    <row r="28" spans="1:7" s="220" customFormat="1" ht="13.5" customHeight="1">
      <c r="A28" s="869" t="s">
        <v>610</v>
      </c>
      <c r="B28" s="254" t="s">
        <v>1956</v>
      </c>
      <c r="C28" s="255">
        <f ca="1">ROUND((C5+C19+C20)*F27,0)</f>
        <v>6004931</v>
      </c>
      <c r="D28" s="241"/>
      <c r="E28" s="242"/>
      <c r="F28" s="252"/>
      <c r="G28" s="253"/>
    </row>
    <row r="29" spans="1:7" s="220" customFormat="1" ht="13.5" customHeight="1">
      <c r="A29" s="869" t="s">
        <v>611</v>
      </c>
      <c r="B29" s="254" t="s">
        <v>1957</v>
      </c>
      <c r="C29" s="244">
        <f ca="1">ROUND(C21*F27,4)</f>
        <v>7.4999999999999997E-3</v>
      </c>
      <c r="D29" s="241"/>
      <c r="E29" s="242"/>
      <c r="F29" s="252"/>
      <c r="G29" s="253"/>
    </row>
    <row r="30" spans="1:7" s="220" customFormat="1" ht="13.5" customHeight="1">
      <c r="A30" s="261" t="s">
        <v>1958</v>
      </c>
      <c r="B30" s="216" t="s">
        <v>1959</v>
      </c>
      <c r="C30" s="241">
        <f>ROUND(F30/(1+'数据-取费表'!C42),4)</f>
        <v>5.33E-2</v>
      </c>
      <c r="D30" s="242" t="s">
        <v>1954</v>
      </c>
      <c r="E30" s="247"/>
      <c r="F30" s="243">
        <f>'数据-取费表'!B41</f>
        <v>5.6000000000000001E-2</v>
      </c>
      <c r="G30" s="240" t="s">
        <v>1960</v>
      </c>
    </row>
    <row r="31" spans="1:7" ht="16.5" customHeight="1">
      <c r="A31" s="215">
        <v>1</v>
      </c>
      <c r="B31" s="216" t="s">
        <v>1961</v>
      </c>
      <c r="C31" s="217">
        <f ca="1">ROUND((C5+C19+C20+C22+C27)/(1-C21-D22-D27-C30),0)</f>
        <v>36517868</v>
      </c>
      <c r="D31" s="236"/>
      <c r="E31" s="217"/>
      <c r="F31" s="256"/>
      <c r="G31" s="240" t="s">
        <v>1962</v>
      </c>
    </row>
    <row r="32" spans="1:7" s="214" customFormat="1" ht="15.75">
      <c r="A32" s="258" t="s">
        <v>2029</v>
      </c>
      <c r="B32" s="259"/>
      <c r="C32" s="259"/>
      <c r="D32" s="259"/>
      <c r="E32" s="259"/>
      <c r="F32" s="259"/>
      <c r="G32" s="260"/>
    </row>
    <row r="33" spans="1:7" s="220" customFormat="1" ht="13.5" customHeight="1">
      <c r="A33" s="261" t="s">
        <v>601</v>
      </c>
      <c r="B33" s="216" t="s">
        <v>2030</v>
      </c>
      <c r="C33" s="262">
        <f ca="1">SUM(C34:C38)</f>
        <v>415243887</v>
      </c>
      <c r="D33" s="238"/>
      <c r="E33" s="218"/>
      <c r="F33" s="247"/>
      <c r="G33" s="240"/>
    </row>
    <row r="34" spans="1:7" s="264" customFormat="1" ht="13.5" customHeight="1">
      <c r="A34" s="869" t="s">
        <v>610</v>
      </c>
      <c r="B34" s="221" t="s">
        <v>1965</v>
      </c>
      <c r="C34" s="226">
        <f ca="1">ROUND(IF(B1="",SUMPRODUCT('数据-取费表'!K6:K14,'数据-取费表'!L6:L14),INDIRECT("'数据-取费表'!l"&amp;$G$1)*INDIRECT("'数据-取费表'!k"&amp;$G$1)+'数据-取费表'!L14*INDIRECT("'数据-取费表'!S"&amp;$G$1)),0)</f>
        <v>378951950</v>
      </c>
      <c r="D34" s="223"/>
      <c r="E34" s="226"/>
      <c r="F34" s="263"/>
      <c r="G34" s="225"/>
    </row>
    <row r="35" spans="1:7" ht="13.5" customHeight="1">
      <c r="A35" s="869" t="s">
        <v>615</v>
      </c>
      <c r="B35" s="221" t="s">
        <v>1967</v>
      </c>
      <c r="C35" s="226">
        <f ca="1">ROUND(C34*F35,0)</f>
        <v>18947598</v>
      </c>
      <c r="D35" s="226"/>
      <c r="E35" s="226"/>
      <c r="F35" s="265">
        <f>'数据-取费表'!B33</f>
        <v>0.05</v>
      </c>
      <c r="G35" s="225" t="s">
        <v>1968</v>
      </c>
    </row>
    <row r="36" spans="1:7" ht="24">
      <c r="A36" s="869" t="s">
        <v>616</v>
      </c>
      <c r="B36" s="221" t="s">
        <v>1969</v>
      </c>
      <c r="C36" s="226">
        <f ca="1">ROUND(IF(B1="",SUM('数据-取费表'!AP6:AP13)*F36,IF(INDIRECT("'数据-取费表'!c"&amp;$G$1)="住宅",INDIRECT("'数据-取费表'!k"&amp;$G$1)*INDIRECT("'数据-取费表'!l"&amp;$G$1)*F36,0)),0)</f>
        <v>0</v>
      </c>
      <c r="D36" s="226"/>
      <c r="E36" s="226"/>
      <c r="F36" s="265">
        <f>'数据-取费表'!B34</f>
        <v>0</v>
      </c>
      <c r="G36" s="266" t="s">
        <v>1970</v>
      </c>
    </row>
    <row r="37" spans="1:7" s="264" customFormat="1" ht="13.5" customHeight="1">
      <c r="A37" s="869" t="s">
        <v>617</v>
      </c>
      <c r="B37" s="221" t="s">
        <v>1971</v>
      </c>
      <c r="C37" s="255">
        <f ca="1">ROUND(E37*D37,0)</f>
        <v>11660060</v>
      </c>
      <c r="D37" s="223">
        <f ca="1">D19</f>
        <v>58300.299999999996</v>
      </c>
      <c r="E37" s="255">
        <f>'数据-取费表'!B35</f>
        <v>200</v>
      </c>
      <c r="F37" s="265"/>
      <c r="G37" s="267"/>
    </row>
    <row r="38" spans="1:7" ht="13.5" customHeight="1">
      <c r="A38" s="869" t="s">
        <v>618</v>
      </c>
      <c r="B38" s="221" t="s">
        <v>1973</v>
      </c>
      <c r="C38" s="226">
        <f ca="1">ROUND(C34*F38,0)</f>
        <v>5684279</v>
      </c>
      <c r="D38" s="226"/>
      <c r="E38" s="226"/>
      <c r="F38" s="265">
        <f>'数据-取费表'!B36</f>
        <v>1.4999999999999999E-2</v>
      </c>
      <c r="G38" s="225" t="s">
        <v>1968</v>
      </c>
    </row>
    <row r="39" spans="1:7" s="220" customFormat="1" ht="13.5" customHeight="1">
      <c r="A39" s="261" t="s">
        <v>1974</v>
      </c>
      <c r="B39" s="216" t="s">
        <v>1975</v>
      </c>
      <c r="C39" s="238">
        <f ca="1">ROUND(C33*F20,0)</f>
        <v>12457317</v>
      </c>
      <c r="D39" s="238"/>
      <c r="E39" s="238"/>
      <c r="F39" s="2485">
        <f>F20</f>
        <v>0.03</v>
      </c>
      <c r="G39" s="240" t="s">
        <v>1976</v>
      </c>
    </row>
    <row r="40" spans="1:7" s="220" customFormat="1" ht="13.5" customHeight="1">
      <c r="A40" s="261" t="s">
        <v>1977</v>
      </c>
      <c r="B40" s="216" t="s">
        <v>1978</v>
      </c>
      <c r="C40" s="1448">
        <f>F21</f>
        <v>0.03</v>
      </c>
      <c r="D40" s="242" t="s">
        <v>1979</v>
      </c>
      <c r="E40" s="238"/>
      <c r="F40" s="2485">
        <f>F21</f>
        <v>0.03</v>
      </c>
      <c r="G40" s="240" t="s">
        <v>1980</v>
      </c>
    </row>
    <row r="41" spans="1:7" s="220" customFormat="1" ht="13.5" customHeight="1">
      <c r="A41" s="261" t="s">
        <v>1981</v>
      </c>
      <c r="B41" s="216" t="s">
        <v>1982</v>
      </c>
      <c r="C41" s="238">
        <f ca="1">ROUND(SUM(C42:C43),0)</f>
        <v>27226151</v>
      </c>
      <c r="D41" s="241">
        <f ca="1">C44</f>
        <v>1.9E-3</v>
      </c>
      <c r="E41" s="242" t="s">
        <v>1979</v>
      </c>
      <c r="F41" s="2486">
        <f ca="1">F22</f>
        <v>4.2000000000000003E-2</v>
      </c>
      <c r="G41" s="240" t="str">
        <f>IF('数据-取费表'!B22&lt;=1,"单利计息","复利计息")</f>
        <v>复利计息</v>
      </c>
    </row>
    <row r="42" spans="1:7" ht="13.5" customHeight="1">
      <c r="A42" s="869" t="s">
        <v>610</v>
      </c>
      <c r="B42" s="221" t="s">
        <v>1983</v>
      </c>
      <c r="C42" s="244">
        <f ca="1">ROUND(IF('数据-取费表'!B22&lt;=1,C33*F22*'数据-取费表'!B20/2,C33*(POWER((1+F22),'数据-取费表'!B20/2)-1)),0)</f>
        <v>26433156</v>
      </c>
      <c r="D42" s="244"/>
      <c r="E42" s="244"/>
      <c r="F42" s="245"/>
      <c r="G42" s="3463" t="s">
        <v>2031</v>
      </c>
    </row>
    <row r="43" spans="1:7" ht="13.5" customHeight="1">
      <c r="A43" s="869" t="s">
        <v>611</v>
      </c>
      <c r="B43" s="221" t="s">
        <v>1985</v>
      </c>
      <c r="C43" s="244">
        <f ca="1">ROUND(IF('数据-取费表'!B22&lt;=1,C39*F22*'数据-取费表'!B20/2,C39*(POWER((1+F22),'数据-取费表'!B20/2)-1)),0)</f>
        <v>792995</v>
      </c>
      <c r="D43" s="244"/>
      <c r="E43" s="244"/>
      <c r="F43" s="245"/>
      <c r="G43" s="3464"/>
    </row>
    <row r="44" spans="1:7" ht="13.5" customHeight="1">
      <c r="A44" s="869" t="s">
        <v>612</v>
      </c>
      <c r="B44" s="221" t="s">
        <v>1986</v>
      </c>
      <c r="C44" s="244">
        <f ca="1">ROUND(IF('数据-取费表'!B22&lt;=1,C40*F22*'数据-取费表'!B20/2,C40*(POWER((1+F22),'数据-取费表'!B20/2)-1)),4)</f>
        <v>1.9E-3</v>
      </c>
      <c r="D44" s="244"/>
      <c r="E44" s="244"/>
      <c r="F44" s="245"/>
      <c r="G44" s="3465"/>
    </row>
    <row r="45" spans="1:7" s="220" customFormat="1" ht="13.5" customHeight="1">
      <c r="A45" s="261" t="s">
        <v>1987</v>
      </c>
      <c r="B45" s="250" t="s">
        <v>1953</v>
      </c>
      <c r="C45" s="251">
        <f ca="1">C46</f>
        <v>106925301</v>
      </c>
      <c r="D45" s="241">
        <f ca="1">C47</f>
        <v>7.4999999999999997E-3</v>
      </c>
      <c r="E45" s="242" t="s">
        <v>1979</v>
      </c>
      <c r="F45" s="2487">
        <f ca="1">F27</f>
        <v>0.25</v>
      </c>
      <c r="G45" s="253" t="s">
        <v>1988</v>
      </c>
    </row>
    <row r="46" spans="1:7" s="220" customFormat="1" ht="13.5" customHeight="1">
      <c r="A46" s="869" t="s">
        <v>610</v>
      </c>
      <c r="B46" s="254" t="s">
        <v>1989</v>
      </c>
      <c r="C46" s="255">
        <f ca="1">ROUND((C33+C39)*F27,0)</f>
        <v>106925301</v>
      </c>
      <c r="D46" s="269"/>
      <c r="E46" s="242"/>
      <c r="F46" s="252"/>
      <c r="G46" s="253"/>
    </row>
    <row r="47" spans="1:7" s="220" customFormat="1" ht="13.5" customHeight="1">
      <c r="A47" s="869" t="s">
        <v>611</v>
      </c>
      <c r="B47" s="254" t="s">
        <v>1990</v>
      </c>
      <c r="C47" s="244">
        <f ca="1">ROUND(C40*F27,4)</f>
        <v>7.4999999999999997E-3</v>
      </c>
      <c r="D47" s="269"/>
      <c r="E47" s="242"/>
      <c r="F47" s="252"/>
      <c r="G47" s="253"/>
    </row>
    <row r="48" spans="1:7" s="220" customFormat="1" ht="13.5" customHeight="1">
      <c r="A48" s="261" t="s">
        <v>1952</v>
      </c>
      <c r="B48" s="216" t="s">
        <v>1991</v>
      </c>
      <c r="C48" s="268">
        <f>ROUND(F30/(1+'数据-取费表'!C42),4)</f>
        <v>5.33E-2</v>
      </c>
      <c r="D48" s="242" t="s">
        <v>1979</v>
      </c>
      <c r="E48" s="238"/>
      <c r="F48" s="2486">
        <f>F30</f>
        <v>5.6000000000000001E-2</v>
      </c>
      <c r="G48" s="240" t="s">
        <v>1992</v>
      </c>
    </row>
    <row r="49" spans="1:7" ht="16.5" customHeight="1">
      <c r="A49" s="261" t="s">
        <v>1958</v>
      </c>
      <c r="B49" s="216" t="s">
        <v>2032</v>
      </c>
      <c r="C49" s="238">
        <f ca="1">ROUND((C33+C39+C41+C45)/(1-C40-D41-D45-C48),0)</f>
        <v>619257860</v>
      </c>
      <c r="D49" s="238"/>
      <c r="E49" s="238"/>
      <c r="F49" s="270"/>
      <c r="G49" s="240" t="s">
        <v>1994</v>
      </c>
    </row>
    <row r="50" spans="1:7" s="264" customFormat="1">
      <c r="A50" s="261" t="s">
        <v>1995</v>
      </c>
      <c r="B50" s="216" t="s">
        <v>1996</v>
      </c>
      <c r="C50" s="238"/>
      <c r="D50" s="238"/>
      <c r="E50" s="238"/>
      <c r="F50" s="270">
        <f>IF('数据-取费表'!B24=0,'数据-取费表'!N16,1)</f>
        <v>0.82</v>
      </c>
      <c r="G50" s="253"/>
    </row>
    <row r="51" spans="1:7" ht="16.5" customHeight="1">
      <c r="A51" s="261" t="s">
        <v>1998</v>
      </c>
      <c r="B51" s="216" t="s">
        <v>2033</v>
      </c>
      <c r="C51" s="238">
        <f ca="1">ROUND(C49*F50,0)</f>
        <v>507791445</v>
      </c>
      <c r="D51" s="238"/>
      <c r="E51" s="238"/>
      <c r="F51" s="270"/>
      <c r="G51" s="240" t="s">
        <v>2000</v>
      </c>
    </row>
    <row r="52" spans="1:7" s="214" customFormat="1" ht="16.5" thickBot="1">
      <c r="A52" s="271" t="s">
        <v>2001</v>
      </c>
      <c r="B52" s="272"/>
      <c r="C52" s="273">
        <f ca="1">C31+C51</f>
        <v>544309313</v>
      </c>
      <c r="D52" s="272"/>
      <c r="E52" s="272"/>
      <c r="F52" s="272"/>
      <c r="G52" s="274"/>
    </row>
    <row r="55" spans="1:7" ht="15">
      <c r="B55" s="276" t="s">
        <v>2002</v>
      </c>
      <c r="C55" s="277"/>
    </row>
    <row r="56" spans="1:7">
      <c r="B56" s="279" t="s">
        <v>1233</v>
      </c>
      <c r="C56" s="281">
        <f ca="1">1-C57</f>
        <v>6.6999999999999948E-2</v>
      </c>
    </row>
    <row r="57" spans="1:7">
      <c r="B57" s="279" t="s">
        <v>1234</v>
      </c>
      <c r="C57" s="280">
        <f ca="1">ROUND(C51/C52,3)</f>
        <v>0.93300000000000005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2034</v>
      </c>
      <c r="B1" s="1306"/>
      <c r="C1" s="1307"/>
      <c r="D1" s="1305"/>
      <c r="E1" s="2984"/>
      <c r="F1" s="2984"/>
      <c r="G1" s="2847"/>
      <c r="H1" s="2984"/>
      <c r="I1" s="2984"/>
      <c r="J1" s="2984"/>
      <c r="K1" s="2985">
        <f>MATCH(C1,'数据-取费表'!A6:A16,0)+5</f>
        <v>7</v>
      </c>
    </row>
    <row r="2" spans="1:33" ht="18" customHeight="1">
      <c r="A2" s="207" t="s">
        <v>1903</v>
      </c>
      <c r="B2" s="210">
        <f ca="1">C32</f>
        <v>0</v>
      </c>
      <c r="C2" s="282" t="s">
        <v>2035</v>
      </c>
      <c r="D2" s="282"/>
      <c r="E2" s="2984"/>
      <c r="F2" s="2984"/>
      <c r="G2" s="2984"/>
      <c r="H2" s="2984"/>
      <c r="I2" s="2984"/>
      <c r="J2" s="2984"/>
      <c r="K2" s="2984"/>
    </row>
    <row r="3" spans="1:33" ht="18" customHeight="1" thickBot="1">
      <c r="A3" s="209" t="s">
        <v>1905</v>
      </c>
      <c r="B3" s="210">
        <f ca="1">ROUND(B2*10000/IF(C1="",'数据-汇总表'!E3,INDIRECT("'数据-取费表'!K"&amp;$K$1)),0)</f>
        <v>0</v>
      </c>
      <c r="C3" s="282" t="s">
        <v>2036</v>
      </c>
      <c r="D3" s="282"/>
      <c r="E3" s="2984"/>
      <c r="F3" s="2984"/>
      <c r="G3" s="2984"/>
      <c r="H3" s="2984"/>
      <c r="I3" s="2984"/>
      <c r="J3" s="2984"/>
      <c r="K3" s="2984"/>
    </row>
    <row r="4" spans="1:33" s="874" customFormat="1" ht="16.5" customHeight="1">
      <c r="A4" s="871" t="s">
        <v>2037</v>
      </c>
      <c r="B4" s="872"/>
      <c r="C4" s="914">
        <f>SUM(C8:K8)</f>
        <v>0</v>
      </c>
      <c r="D4" s="872"/>
      <c r="E4" s="872"/>
      <c r="F4" s="872"/>
      <c r="G4" s="872"/>
      <c r="H4" s="872"/>
      <c r="I4" s="872"/>
      <c r="J4" s="872"/>
      <c r="K4" s="873"/>
    </row>
    <row r="5" spans="1:33" s="878" customFormat="1" ht="24.75">
      <c r="A5" s="875" t="s">
        <v>2038</v>
      </c>
      <c r="B5" s="876" t="s">
        <v>2039</v>
      </c>
      <c r="C5" s="1996" t="s">
        <v>2040</v>
      </c>
      <c r="D5" s="1996" t="s">
        <v>2041</v>
      </c>
      <c r="E5" s="1996" t="s">
        <v>2042</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2043</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2044</v>
      </c>
      <c r="B7" s="136" t="s">
        <v>2045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2046</v>
      </c>
      <c r="B8" s="169" t="s">
        <v>2047</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2048</v>
      </c>
      <c r="B9" s="872"/>
      <c r="C9" s="872"/>
      <c r="D9" s="872"/>
      <c r="E9" s="872"/>
      <c r="F9" s="872"/>
      <c r="G9" s="872"/>
      <c r="H9" s="872"/>
      <c r="I9" s="872"/>
      <c r="J9" s="872"/>
      <c r="K9" s="873"/>
    </row>
    <row r="10" spans="1:33" s="888" customFormat="1" ht="13.5" customHeight="1">
      <c r="A10" s="875" t="s">
        <v>2049</v>
      </c>
      <c r="B10" s="8" t="s">
        <v>2050</v>
      </c>
      <c r="C10" s="884" t="s">
        <v>2051</v>
      </c>
      <c r="D10" s="885" t="s">
        <v>2052</v>
      </c>
      <c r="E10" s="885" t="s">
        <v>2053</v>
      </c>
      <c r="F10" s="885" t="s">
        <v>2054</v>
      </c>
      <c r="G10" s="8"/>
      <c r="H10" s="886"/>
      <c r="I10" s="886"/>
      <c r="J10" s="886"/>
      <c r="K10" s="887"/>
    </row>
    <row r="11" spans="1:33" s="893" customFormat="1" ht="13.5" customHeight="1">
      <c r="A11" s="889" t="s">
        <v>1060</v>
      </c>
      <c r="B11" s="890" t="s">
        <v>2055</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2056</v>
      </c>
      <c r="C12" s="24">
        <f ca="1">ROUND(C11*F12,0)</f>
        <v>0</v>
      </c>
      <c r="D12" s="891"/>
      <c r="E12" s="335"/>
      <c r="F12" s="894">
        <f>'数据-取费表'!B33</f>
        <v>0.05</v>
      </c>
      <c r="G12" s="8" t="s">
        <v>2057</v>
      </c>
      <c r="H12" s="886"/>
      <c r="I12" s="886"/>
      <c r="J12" s="886"/>
      <c r="K12" s="887"/>
    </row>
    <row r="13" spans="1:33" s="893" customFormat="1" ht="13.5" customHeight="1">
      <c r="A13" s="889" t="s">
        <v>1062</v>
      </c>
      <c r="B13" s="890" t="s">
        <v>2058</v>
      </c>
      <c r="C13" s="24">
        <f ca="1">ROUND(IF(C1="",SUMIF('数据-取费表'!C:C,"住宅",'数据-取费表'!P:P)*F13,IF(INDIRECT("'数据-取费表'!c"&amp;$K$1)="住宅",INDIRECT("'数据-取费表'!P"&amp;$K$1)*F13,0)),0)</f>
        <v>0</v>
      </c>
      <c r="D13" s="936"/>
      <c r="E13" s="335"/>
      <c r="F13" s="894">
        <f>'数据-取费表'!B34</f>
        <v>0</v>
      </c>
      <c r="G13" s="8" t="s">
        <v>2059</v>
      </c>
      <c r="H13" s="886"/>
      <c r="I13" s="886"/>
      <c r="J13" s="886"/>
      <c r="K13" s="887"/>
    </row>
    <row r="14" spans="1:33" s="895" customFormat="1" ht="13.5" customHeight="1">
      <c r="A14" s="889" t="s">
        <v>1063</v>
      </c>
      <c r="B14" s="890" t="s">
        <v>2060</v>
      </c>
      <c r="C14" s="24">
        <f ca="1">ROUND(D14*E14*F11/10000,0)</f>
        <v>0</v>
      </c>
      <c r="D14" s="936">
        <f ca="1">IF(C1="",'数据-汇总表'!E3,INDIRECT("'数据-取费表'!K"&amp;$K$1)+INDIRECT("'数据-取费表'!S"&amp;$K$1))</f>
        <v>58300.299999999996</v>
      </c>
      <c r="E14" s="24">
        <f>'数据-取费表'!B35</f>
        <v>200</v>
      </c>
      <c r="F14" s="894"/>
      <c r="G14" s="8" t="s">
        <v>2061</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2062</v>
      </c>
      <c r="C15" s="901">
        <f ca="1">ROUND(C11*F15,0)</f>
        <v>0</v>
      </c>
      <c r="D15" s="896"/>
      <c r="E15" s="901"/>
      <c r="F15" s="902">
        <f>'数据-取费表'!B36</f>
        <v>1.4999999999999999E-2</v>
      </c>
      <c r="G15" s="136" t="s">
        <v>2063</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2064</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2065</v>
      </c>
      <c r="C17" s="24">
        <f ca="1">ROUND(D17*E17/10000,0)</f>
        <v>0</v>
      </c>
      <c r="D17" s="936">
        <f ca="1">D14</f>
        <v>58300.299999999996</v>
      </c>
      <c r="E17" s="24">
        <f>'数据-取费表'!B32</f>
        <v>0</v>
      </c>
      <c r="F17" s="896"/>
      <c r="G17" s="136" t="s">
        <v>2066</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2067</v>
      </c>
      <c r="C18" s="24">
        <f ca="1">C19+C20-IF(C1="",'数据-取费表'!B29,IF(G18="已全部缴纳",C19+C20,H18))</f>
        <v>0</v>
      </c>
      <c r="D18" s="936"/>
      <c r="E18" s="24"/>
      <c r="F18" s="894"/>
      <c r="G18" s="1998"/>
      <c r="H18" s="1302"/>
      <c r="I18" s="1999" t="s">
        <v>2068</v>
      </c>
      <c r="J18" s="897"/>
      <c r="K18" s="898"/>
    </row>
    <row r="19" spans="1:33" s="893" customFormat="1" ht="13.5" customHeight="1">
      <c r="A19" s="889" t="s">
        <v>624</v>
      </c>
      <c r="B19" s="890" t="s">
        <v>2069</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2070</v>
      </c>
      <c r="C20" s="24">
        <f ca="1">ROUND(D20*E20/10000,0)</f>
        <v>1166</v>
      </c>
      <c r="D20" s="936">
        <f ca="1">IF(C1="",'数据-汇总表'!E6,IF(INDIRECT("'数据-取费表'!c"&amp;$K$1)="住宅",INDIRECT("'数据-取费表'!s"&amp;$K$1),INDIRECT("'数据-取费表'!k"&amp;$K$1)+INDIRECT("'数据-取费表'!s"&amp;$K$1)))</f>
        <v>58300.299999999996</v>
      </c>
      <c r="E20" s="24">
        <f>'数据-取费表'!B28</f>
        <v>200</v>
      </c>
      <c r="F20" s="894"/>
      <c r="G20" s="15"/>
      <c r="H20" s="899"/>
      <c r="I20" s="899"/>
      <c r="J20" s="899"/>
      <c r="K20" s="900"/>
    </row>
    <row r="21" spans="1:33" s="893" customFormat="1" ht="13.5" customHeight="1">
      <c r="A21" s="879" t="s">
        <v>621</v>
      </c>
      <c r="B21" s="903" t="s">
        <v>2071</v>
      </c>
      <c r="C21" s="904">
        <f ca="1">C16+C17+C18</f>
        <v>0</v>
      </c>
      <c r="D21" s="905"/>
      <c r="E21" s="287"/>
      <c r="F21" s="287"/>
      <c r="G21" s="136" t="s">
        <v>2072</v>
      </c>
      <c r="H21" s="897"/>
      <c r="I21" s="897"/>
      <c r="J21" s="897"/>
      <c r="K21" s="898"/>
    </row>
    <row r="22" spans="1:33" s="893" customFormat="1" ht="13.5" customHeight="1">
      <c r="A22" s="879" t="s">
        <v>2044</v>
      </c>
      <c r="B22" s="903" t="s">
        <v>2073</v>
      </c>
      <c r="C22" s="904">
        <f ca="1">ROUND(C21*F22,0)</f>
        <v>0</v>
      </c>
      <c r="D22" s="287"/>
      <c r="E22" s="287"/>
      <c r="F22" s="906">
        <f>'数据-取费表'!B37</f>
        <v>0.03</v>
      </c>
      <c r="G22" s="8" t="s">
        <v>2074</v>
      </c>
      <c r="H22" s="886"/>
      <c r="I22" s="886"/>
      <c r="J22" s="886"/>
      <c r="K22" s="887"/>
    </row>
    <row r="23" spans="1:33" s="893" customFormat="1" ht="13.5" customHeight="1">
      <c r="A23" s="879" t="s">
        <v>2046</v>
      </c>
      <c r="B23" s="903" t="s">
        <v>2075</v>
      </c>
      <c r="C23" s="904">
        <f ca="1">ROUND(C4*F23*F11,0)</f>
        <v>0</v>
      </c>
      <c r="D23" s="287"/>
      <c r="E23" s="287"/>
      <c r="F23" s="906">
        <f>'数据-取费表'!B38</f>
        <v>0.03</v>
      </c>
      <c r="G23" s="8" t="s">
        <v>2076</v>
      </c>
      <c r="H23" s="886"/>
      <c r="I23" s="886"/>
      <c r="J23" s="886"/>
      <c r="K23" s="887"/>
    </row>
    <row r="24" spans="1:33" s="893" customFormat="1" ht="13.5" customHeight="1">
      <c r="A24" s="879" t="s">
        <v>2077</v>
      </c>
      <c r="B24" s="903" t="s">
        <v>2078</v>
      </c>
      <c r="C24" s="286">
        <f>ROUND(F24/(1+'数据-取费表'!C42),4)</f>
        <v>2.9000000000000001E-2</v>
      </c>
      <c r="D24" s="287" t="s">
        <v>15</v>
      </c>
      <c r="E24" s="287"/>
      <c r="F24" s="906">
        <f>IF(项目基本情况!B8="出让",0,'数据-取费表'!B48+'数据-取费表'!B49)</f>
        <v>3.0499999999999999E-2</v>
      </c>
      <c r="G24" s="8" t="s">
        <v>2079</v>
      </c>
      <c r="H24" s="908"/>
      <c r="I24" s="908"/>
      <c r="J24" s="908"/>
      <c r="K24" s="909"/>
    </row>
    <row r="25" spans="1:33" s="893" customFormat="1" ht="13.5" customHeight="1">
      <c r="A25" s="879" t="s">
        <v>2080</v>
      </c>
      <c r="B25" s="905" t="s">
        <v>2081</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2082</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2083</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2084</v>
      </c>
      <c r="B28" s="2001" t="s">
        <v>2085</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2086</v>
      </c>
      <c r="C29" s="290">
        <f ca="1">ROUND((1+C24)*F28*'数据-取费表'!B24/'数据-取费表'!B20,4)</f>
        <v>0</v>
      </c>
      <c r="D29" s="290"/>
      <c r="E29" s="291"/>
      <c r="F29" s="296"/>
      <c r="G29" s="136" t="s">
        <v>2087</v>
      </c>
      <c r="H29" s="897"/>
      <c r="I29" s="897"/>
      <c r="J29" s="897"/>
      <c r="K29" s="898"/>
    </row>
    <row r="30" spans="1:33" s="297" customFormat="1" ht="13.5" customHeight="1">
      <c r="A30" s="889" t="s">
        <v>623</v>
      </c>
      <c r="B30" s="912" t="s">
        <v>2088</v>
      </c>
      <c r="C30" s="298">
        <f ca="1">ROUND((C21+C22+C23)*F28,0)</f>
        <v>0</v>
      </c>
      <c r="D30" s="290"/>
      <c r="E30" s="291"/>
      <c r="F30" s="296"/>
      <c r="G30" s="136"/>
      <c r="H30" s="897"/>
      <c r="I30" s="897"/>
      <c r="J30" s="897"/>
      <c r="K30" s="898"/>
    </row>
    <row r="31" spans="1:33" s="893" customFormat="1" ht="13.5" customHeight="1" thickBot="1">
      <c r="A31" s="2002" t="s">
        <v>2089</v>
      </c>
      <c r="B31" s="923" t="s">
        <v>2090</v>
      </c>
      <c r="C31" s="924">
        <f>ROUND(C4*F31/(1+'数据-取费表'!C42),0)</f>
        <v>0</v>
      </c>
      <c r="D31" s="925"/>
      <c r="E31" s="926"/>
      <c r="F31" s="927">
        <f>'数据-取费表'!B41</f>
        <v>5.6000000000000001E-2</v>
      </c>
      <c r="G31" s="928" t="s">
        <v>2091</v>
      </c>
      <c r="H31" s="929"/>
      <c r="I31" s="929"/>
      <c r="J31" s="929"/>
      <c r="K31" s="930"/>
    </row>
    <row r="32" spans="1:33" s="888" customFormat="1" ht="13.5" customHeight="1" thickBot="1">
      <c r="A32" s="918" t="s">
        <v>2092</v>
      </c>
      <c r="B32" s="919"/>
      <c r="C32" s="920">
        <f ca="1">ROUND((C4-C21-C22-C23-C25-C28-C31)/(1+C24+D25+D28),0)</f>
        <v>0</v>
      </c>
      <c r="D32" s="919"/>
      <c r="E32" s="919"/>
      <c r="F32" s="919"/>
      <c r="G32" s="921" t="s">
        <v>2093</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0" zoomScaleNormal="70" zoomScaleSheetLayoutView="80" workbookViewId="0">
      <selection activeCell="C39" sqref="C39: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t="s">
        <v>3491</v>
      </c>
      <c r="D1" s="1497" t="s">
        <v>70</v>
      </c>
      <c r="E1" s="1498" t="s">
        <v>1107</v>
      </c>
      <c r="F1" s="1174">
        <f ca="1">J53</f>
        <v>32</v>
      </c>
      <c r="G1" s="1513">
        <f>MATCH(C1,'数据-取费表'!A6:A16,0)+5</f>
        <v>6</v>
      </c>
      <c r="H1" s="2868"/>
      <c r="I1" s="2869" t="s">
        <v>3588</v>
      </c>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1235</v>
      </c>
      <c r="B2" s="1521">
        <f ca="1">C40+J29+L46</f>
        <v>170672</v>
      </c>
      <c r="C2" s="1522" t="s">
        <v>1236</v>
      </c>
      <c r="D2" s="1522"/>
      <c r="E2" s="1523"/>
      <c r="F2" s="1524"/>
      <c r="G2" s="2882"/>
      <c r="H2" s="2871"/>
      <c r="I2" s="2871"/>
      <c r="J2" s="2871"/>
      <c r="K2" s="2872"/>
      <c r="L2" s="2871"/>
      <c r="M2" s="2871"/>
    </row>
    <row r="3" spans="1:37" ht="18" customHeight="1" thickBot="1">
      <c r="A3" s="1525" t="s">
        <v>1237</v>
      </c>
      <c r="B3" s="1526">
        <f ca="1">IF(ISERROR(B2*10000/F43),0,ROUND(B2*10000/F43,0))</f>
        <v>29275</v>
      </c>
      <c r="C3" s="1522" t="s">
        <v>1238</v>
      </c>
      <c r="D3" s="1522"/>
      <c r="E3" s="1523"/>
      <c r="F3" s="1524"/>
      <c r="G3" s="2882"/>
      <c r="H3" s="692" t="s">
        <v>1308</v>
      </c>
      <c r="I3" s="1517"/>
      <c r="J3" s="1517"/>
      <c r="K3" s="1518"/>
      <c r="L3" s="1517"/>
      <c r="M3" s="1517"/>
    </row>
    <row r="4" spans="1:37" ht="18" customHeight="1">
      <c r="A4" s="301" t="s">
        <v>1116</v>
      </c>
      <c r="B4" s="302" t="s">
        <v>1117</v>
      </c>
      <c r="C4" s="302" t="s">
        <v>1118</v>
      </c>
      <c r="D4" s="302" t="s">
        <v>1119</v>
      </c>
      <c r="E4" s="303" t="s">
        <v>1120</v>
      </c>
      <c r="F4" s="304"/>
      <c r="G4" s="1519"/>
      <c r="H4" s="301" t="s">
        <v>1116</v>
      </c>
      <c r="I4" s="302" t="s">
        <v>1117</v>
      </c>
      <c r="J4" s="302" t="s">
        <v>1118</v>
      </c>
      <c r="K4" s="302" t="s">
        <v>1119</v>
      </c>
      <c r="L4" s="303" t="s">
        <v>1120</v>
      </c>
      <c r="M4" s="304"/>
    </row>
    <row r="5" spans="1:37" ht="18" customHeight="1">
      <c r="A5" s="305">
        <v>1</v>
      </c>
      <c r="B5" s="306" t="s">
        <v>1121</v>
      </c>
      <c r="C5" s="1183">
        <f ca="1">C6+C10+C12</f>
        <v>15168</v>
      </c>
      <c r="D5" s="1499" t="s">
        <v>1122</v>
      </c>
      <c r="E5" s="1184"/>
      <c r="F5" s="1185"/>
      <c r="G5" s="1519"/>
      <c r="H5" s="305">
        <v>1</v>
      </c>
      <c r="I5" s="306" t="s">
        <v>1121</v>
      </c>
      <c r="J5" s="1183">
        <f ca="1">J6+J10+J12</f>
        <v>0</v>
      </c>
      <c r="K5" s="1499" t="s">
        <v>1122</v>
      </c>
      <c r="L5" s="1184"/>
      <c r="M5" s="1185"/>
    </row>
    <row r="6" spans="1:37" ht="18" customHeight="1">
      <c r="A6" s="1182" t="s">
        <v>822</v>
      </c>
      <c r="B6" s="3468" t="s">
        <v>1123</v>
      </c>
      <c r="C6" s="1187">
        <f ca="1">ROUND(F6*F8*F7*(1-F9)/10000,0)</f>
        <v>15149</v>
      </c>
      <c r="D6" s="160" t="s">
        <v>2604</v>
      </c>
      <c r="E6" s="308" t="s">
        <v>1125</v>
      </c>
      <c r="F6" s="309">
        <f ca="1">INDIRECT("'数据-取费表'!u"&amp;$G$1)</f>
        <v>7.91</v>
      </c>
      <c r="G6" s="1519"/>
      <c r="H6" s="1182" t="s">
        <v>822</v>
      </c>
      <c r="I6" s="3468" t="s">
        <v>1123</v>
      </c>
      <c r="J6" s="307">
        <f ca="1">ROUND(M6*M8*M7*(1-M9)/10000,0)</f>
        <v>0</v>
      </c>
      <c r="K6" s="160" t="s">
        <v>2603</v>
      </c>
      <c r="L6" s="308" t="s">
        <v>1125</v>
      </c>
      <c r="M6" s="309">
        <f ca="1">INDIRECT("'数据-取费表'!z"&amp;$G$1)</f>
        <v>0</v>
      </c>
    </row>
    <row r="7" spans="1:37" ht="18" customHeight="1">
      <c r="A7" s="1186"/>
      <c r="B7" s="3469"/>
      <c r="C7" s="1188"/>
      <c r="D7" s="313"/>
      <c r="E7" s="1189" t="s">
        <v>1126</v>
      </c>
      <c r="F7" s="309">
        <f ca="1">IF(INDIRECT("'数据-取费表'!ah"&amp;$G$1)="",INDIRECT("'数据-取费表'!k"&amp;$G$1),INDIRECT("'数据-取费表'!ah"&amp;$G$1))</f>
        <v>58300.299999999996</v>
      </c>
      <c r="G7" s="1519"/>
      <c r="H7" s="310"/>
      <c r="I7" s="3469"/>
      <c r="J7" s="312"/>
      <c r="K7" s="313"/>
      <c r="L7" s="308" t="s">
        <v>1126</v>
      </c>
      <c r="M7" s="309">
        <f ca="1">F7</f>
        <v>58300.299999999996</v>
      </c>
    </row>
    <row r="8" spans="1:37" ht="18" customHeight="1">
      <c r="A8" s="310"/>
      <c r="B8" s="3469"/>
      <c r="C8" s="312"/>
      <c r="D8" s="313"/>
      <c r="E8" s="308" t="s">
        <v>1127</v>
      </c>
      <c r="F8" s="309">
        <f ca="1">INDIRECT("'数据-取费表'!ai"&amp;$G$1)</f>
        <v>365</v>
      </c>
      <c r="G8" s="1519"/>
      <c r="H8" s="310"/>
      <c r="I8" s="3469"/>
      <c r="J8" s="312"/>
      <c r="K8" s="313"/>
      <c r="L8" s="308" t="s">
        <v>1127</v>
      </c>
      <c r="M8" s="309">
        <f ca="1">INDIRECT("'数据-取费表'!ai"&amp;$G$1)</f>
        <v>365</v>
      </c>
    </row>
    <row r="9" spans="1:37" ht="18" customHeight="1">
      <c r="A9" s="310"/>
      <c r="B9" s="3470"/>
      <c r="C9" s="312"/>
      <c r="D9" s="313"/>
      <c r="E9" s="308" t="s">
        <v>1128</v>
      </c>
      <c r="F9" s="318">
        <f ca="1">INDIRECT("'数据-取费表'!w"&amp;$G$1)</f>
        <v>0.1</v>
      </c>
      <c r="G9" s="1519"/>
      <c r="H9" s="310"/>
      <c r="I9" s="3470"/>
      <c r="J9" s="312"/>
      <c r="K9" s="313"/>
      <c r="L9" s="319" t="s">
        <v>1128</v>
      </c>
      <c r="M9" s="320">
        <f ca="1">INDIRECT("'数据-取费表'!ab"&amp;$G$1)</f>
        <v>0</v>
      </c>
    </row>
    <row r="10" spans="1:37" ht="18" customHeight="1">
      <c r="A10" s="1182" t="s">
        <v>826</v>
      </c>
      <c r="B10" s="1500" t="s">
        <v>1129</v>
      </c>
      <c r="C10" s="322">
        <f ca="1">ROUND(IF(F10="押一",C6/12*F11,IF(F10="押二",C6/12*2*F11,IF(F10="押三",C6/12*3*F11,C11*F11))),0)</f>
        <v>19</v>
      </c>
      <c r="D10" s="1501" t="s">
        <v>2612</v>
      </c>
      <c r="E10" s="319" t="s">
        <v>1130</v>
      </c>
      <c r="F10" s="1229" t="s">
        <v>3466</v>
      </c>
      <c r="G10" s="1519"/>
      <c r="H10" s="1182" t="s">
        <v>826</v>
      </c>
      <c r="I10" s="1500" t="s">
        <v>1129</v>
      </c>
      <c r="J10" s="307">
        <f ca="1">ROUND(IF(M10="押一",J6/12*M11,IF(M10="押二",J6/12*2*M11,IF(M10="押三",J6/12*3*M11,J11*M11))),0)</f>
        <v>0</v>
      </c>
      <c r="K10" s="1501" t="s">
        <v>2611</v>
      </c>
      <c r="L10" s="319" t="s">
        <v>1130</v>
      </c>
      <c r="M10" s="1229" t="s">
        <v>1131</v>
      </c>
    </row>
    <row r="11" spans="1:37" ht="18" customHeight="1">
      <c r="A11" s="314"/>
      <c r="B11" s="1502" t="s">
        <v>1108</v>
      </c>
      <c r="C11" s="1071"/>
      <c r="D11" s="1503"/>
      <c r="E11" s="319" t="s">
        <v>1132</v>
      </c>
      <c r="F11" s="320">
        <f ca="1">'数据-取费表'!B39</f>
        <v>1.4999999999999999E-2</v>
      </c>
      <c r="G11" s="1519"/>
      <c r="H11" s="1190"/>
      <c r="I11" s="1502" t="s">
        <v>1108</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50779</v>
      </c>
      <c r="D13" s="1194" t="s">
        <v>1135</v>
      </c>
      <c r="E13" s="1194" t="s">
        <v>1136</v>
      </c>
      <c r="F13" s="1195">
        <f ca="1">INDIRECT("'数据-取费表'!y"&amp;$G$1)</f>
        <v>0.82</v>
      </c>
      <c r="G13" s="1519"/>
      <c r="H13" s="1192">
        <v>2</v>
      </c>
      <c r="I13" s="1193" t="s">
        <v>1134</v>
      </c>
      <c r="J13" s="1181">
        <f ca="1">ROUND(J14*J15,0)</f>
        <v>0</v>
      </c>
      <c r="K13" s="1200" t="s">
        <v>1135</v>
      </c>
      <c r="L13" s="1527"/>
      <c r="M13" s="1528"/>
    </row>
    <row r="14" spans="1:37" ht="18" customHeight="1">
      <c r="A14" s="1094" t="s">
        <v>821</v>
      </c>
      <c r="B14" s="308" t="s">
        <v>1137</v>
      </c>
      <c r="C14" s="324">
        <f ca="1">INDIRECT("'数据-取费表'!m"&amp;$G$1)+INDIRECT("'数据-取费表'!t"&amp;$G$1)</f>
        <v>37895</v>
      </c>
      <c r="D14" s="1480" t="s">
        <v>1138</v>
      </c>
      <c r="E14" s="1477"/>
      <c r="F14" s="325"/>
      <c r="G14" s="1519"/>
      <c r="H14" s="1094" t="s">
        <v>822</v>
      </c>
      <c r="I14" s="308" t="s">
        <v>1139</v>
      </c>
      <c r="J14" s="24">
        <f ca="1">C29</f>
        <v>61925</v>
      </c>
      <c r="K14" s="15"/>
      <c r="L14" s="897"/>
      <c r="M14" s="898"/>
    </row>
    <row r="15" spans="1:37" s="1532" customFormat="1" ht="18" customHeight="1" thickBot="1">
      <c r="A15" s="1094" t="s">
        <v>823</v>
      </c>
      <c r="B15" s="308" t="s">
        <v>1140</v>
      </c>
      <c r="C15" s="24">
        <f ca="1">ROUND(C14*F15,0)</f>
        <v>1895</v>
      </c>
      <c r="D15" s="326" t="s">
        <v>1141</v>
      </c>
      <c r="E15" s="326" t="s">
        <v>1142</v>
      </c>
      <c r="F15" s="327">
        <f>'数据-取费表'!B33</f>
        <v>0.05</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ROUND(INDIRECT("'数据-取费表'!m"&amp;$G$1)*F16,0)</f>
        <v>0</v>
      </c>
      <c r="D16" s="308" t="s">
        <v>1141</v>
      </c>
      <c r="E16" s="308" t="s">
        <v>1142</v>
      </c>
      <c r="F16" s="328">
        <f ca="1">IF(INDIRECT("'数据-取费表'!c"&amp;$G$1)="住宅",'数据-取费表'!B34,0)</f>
        <v>0</v>
      </c>
      <c r="G16" s="1519"/>
      <c r="H16" s="1192" t="s">
        <v>817</v>
      </c>
      <c r="I16" s="1193" t="s">
        <v>1144</v>
      </c>
      <c r="J16" s="316">
        <f ca="1">ROUND(J17+J22+J23+J24,0)</f>
        <v>1482</v>
      </c>
      <c r="K16" s="1200" t="s">
        <v>1145</v>
      </c>
      <c r="L16" s="1201"/>
      <c r="M16" s="1185"/>
    </row>
    <row r="17" spans="1:37" s="1532" customFormat="1" ht="18" customHeight="1">
      <c r="A17" s="1094" t="s">
        <v>1110</v>
      </c>
      <c r="B17" s="308" t="s">
        <v>1146</v>
      </c>
      <c r="C17" s="24">
        <f ca="1">ROUND(F17*(F43+INDIRECT("'数据-取费表'!S"&amp;$G$1))/10000,0)</f>
        <v>1166</v>
      </c>
      <c r="D17" s="308" t="s">
        <v>1147</v>
      </c>
      <c r="E17" s="308" t="s">
        <v>1148</v>
      </c>
      <c r="F17" s="26">
        <f>'数据-取费表'!B35</f>
        <v>200</v>
      </c>
      <c r="G17" s="1531"/>
      <c r="H17" s="1094" t="s">
        <v>822</v>
      </c>
      <c r="I17" s="308" t="s">
        <v>1149</v>
      </c>
      <c r="J17" s="2484">
        <f ca="1">ROUND(IF(AND(项目基本情况!B11="自然人",项目基本情况!B10="北京市"),J6*M17/(1+'数据-取费表'!C42),J18+J19+J20),0)</f>
        <v>553</v>
      </c>
      <c r="K17" s="1480" t="s">
        <v>1150</v>
      </c>
      <c r="L17" s="1479" t="s">
        <v>1151</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568</v>
      </c>
      <c r="D18" s="308" t="s">
        <v>1141</v>
      </c>
      <c r="E18" s="308" t="s">
        <v>1142</v>
      </c>
      <c r="F18" s="328">
        <f>'数据-取费表'!B36</f>
        <v>1.4999999999999999E-2</v>
      </c>
      <c r="G18" s="1531"/>
      <c r="H18" s="1094" t="s">
        <v>821</v>
      </c>
      <c r="I18" s="308" t="s">
        <v>1153</v>
      </c>
      <c r="J18" s="24">
        <f ca="1">ROUND(J6*M18/(1+'数据-取费表'!C42),2)</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41524</v>
      </c>
      <c r="D19" s="136" t="s">
        <v>1156</v>
      </c>
      <c r="E19" s="1495"/>
      <c r="F19" s="26"/>
      <c r="G19" s="1519"/>
      <c r="H19" s="1094" t="s">
        <v>823</v>
      </c>
      <c r="I19" s="308" t="s">
        <v>1157</v>
      </c>
      <c r="J19" s="24">
        <f ca="1">IF(K19="按租金收入计税",ROUND(J6*M19/(1+'数据-取费表'!C42),2),ROUND(C29*M19*0.7,2))</f>
        <v>520.16999999999996</v>
      </c>
      <c r="K19" s="1505" t="s">
        <v>1158</v>
      </c>
      <c r="L19" s="308" t="s">
        <v>1142</v>
      </c>
      <c r="M19" s="328">
        <f>IF(K19="按租金收入计税",'数据-取费表'!B51,'数据-取费表'!B50)</f>
        <v>1.2E-2</v>
      </c>
    </row>
    <row r="20" spans="1:37" s="1532" customFormat="1" ht="18" customHeight="1">
      <c r="A20" s="1094" t="s">
        <v>826</v>
      </c>
      <c r="B20" s="308" t="s">
        <v>1159</v>
      </c>
      <c r="C20" s="24">
        <f ca="1">ROUND(C19*F20,0)</f>
        <v>1246</v>
      </c>
      <c r="D20" s="329" t="s">
        <v>1160</v>
      </c>
      <c r="E20" s="308" t="s">
        <v>1142</v>
      </c>
      <c r="F20" s="328">
        <f>'数据-取费表'!B37</f>
        <v>0.03</v>
      </c>
      <c r="G20" s="1531"/>
      <c r="H20" s="1094" t="s">
        <v>1109</v>
      </c>
      <c r="I20" s="160" t="s">
        <v>1161</v>
      </c>
      <c r="J20" s="25">
        <f ca="1">ROUND(M20*M21/10000,2)</f>
        <v>32.42</v>
      </c>
      <c r="K20" s="330" t="s">
        <v>1162</v>
      </c>
      <c r="L20" s="308" t="s">
        <v>1163</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18</v>
      </c>
      <c r="D21" s="329" t="s">
        <v>1165</v>
      </c>
      <c r="E21" s="308" t="s">
        <v>1166</v>
      </c>
      <c r="F21" s="328">
        <f>'数据-取费表'!B38</f>
        <v>0.03</v>
      </c>
      <c r="G21" s="1531"/>
      <c r="H21" s="332"/>
      <c r="I21" s="317"/>
      <c r="J21" s="29"/>
      <c r="K21" s="333"/>
      <c r="L21" s="308" t="s">
        <v>1167</v>
      </c>
      <c r="M21" s="309">
        <f ca="1">INDIRECT("'数据-取费表'!r"&amp;$G$1)</f>
        <v>10807.05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ROUND(J14*M22,1)</f>
        <v>928.9</v>
      </c>
      <c r="K22" s="1479" t="s">
        <v>1170</v>
      </c>
      <c r="L22" s="308" t="s">
        <v>1142</v>
      </c>
      <c r="M22" s="334">
        <f ca="1">INDIRECT("'数据-取费表'!Ak"&amp;$G$1)</f>
        <v>1.4999999999999999E-2</v>
      </c>
    </row>
    <row r="23" spans="1:37" s="1532" customFormat="1" ht="18" customHeight="1">
      <c r="A23" s="1094" t="s">
        <v>821</v>
      </c>
      <c r="B23" s="308" t="s">
        <v>1171</v>
      </c>
      <c r="C23" s="24">
        <f ca="1">IF('数据-取费表'!B22&lt;=1,ROUND(C19*F24*F23/2,0)+ROUND(C20*F24*F23/2,0),ROUND(C19*(POWER((1+F24),F23/2)-1),0)+ROUND(C20*(POWER((1+F24),F23/2)-1),0))</f>
        <v>2722</v>
      </c>
      <c r="D23" s="335" t="str">
        <f>IF(F23&lt;=1,"(建造成本+管理费用)×利率×(建设周期÷2)","(建造成本+管理费用)×((1+利率)^(建设周期÷2)-1)")</f>
        <v>(建造成本+管理费用)×((1+利率)^(建设周期÷2)-1)</v>
      </c>
      <c r="E23" s="308" t="s">
        <v>1172</v>
      </c>
      <c r="F23" s="331">
        <f>'数据-取费表'!B20</f>
        <v>3</v>
      </c>
      <c r="G23" s="1531"/>
      <c r="H23" s="1094" t="s">
        <v>862</v>
      </c>
      <c r="I23" s="308" t="s">
        <v>1173</v>
      </c>
      <c r="J23" s="24">
        <f ca="1">ROUND(J13*M23,1)</f>
        <v>0</v>
      </c>
      <c r="K23" s="1479" t="s">
        <v>1174</v>
      </c>
      <c r="L23" s="308" t="s">
        <v>1175</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1.9E-3</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ROUND(J5*M24,1)</f>
        <v>0</v>
      </c>
      <c r="K24" s="1205" t="s">
        <v>1179</v>
      </c>
      <c r="L24" s="1203" t="s">
        <v>1175</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1180</v>
      </c>
      <c r="B25" s="308" t="s">
        <v>1181</v>
      </c>
      <c r="C25" s="24"/>
      <c r="D25" s="136" t="s">
        <v>1182</v>
      </c>
      <c r="E25" s="1495"/>
      <c r="F25" s="26"/>
      <c r="G25" s="1519"/>
      <c r="H25" s="1192" t="s">
        <v>818</v>
      </c>
      <c r="I25" s="1207" t="s">
        <v>1183</v>
      </c>
      <c r="J25" s="316">
        <f ca="1">J5-J16</f>
        <v>-1482</v>
      </c>
      <c r="K25" s="1208" t="s">
        <v>1184</v>
      </c>
      <c r="L25" s="1209"/>
      <c r="M25" s="1210"/>
    </row>
    <row r="26" spans="1:37">
      <c r="A26" s="1094" t="s">
        <v>821</v>
      </c>
      <c r="B26" s="308" t="s">
        <v>1185</v>
      </c>
      <c r="C26" s="24">
        <f ca="1">ROUND((C19+C20)*F26,0)</f>
        <v>10693</v>
      </c>
      <c r="D26" s="329" t="s">
        <v>1186</v>
      </c>
      <c r="E26" s="319" t="s">
        <v>1187</v>
      </c>
      <c r="F26" s="318">
        <f ca="1">INDIRECT("'数据-取费表'!q"&amp;$G$1)</f>
        <v>0.25</v>
      </c>
      <c r="G26" s="1519"/>
      <c r="H26" s="305" t="s">
        <v>819</v>
      </c>
      <c r="I26" s="306" t="s">
        <v>1188</v>
      </c>
      <c r="J26" s="307">
        <f ca="1">IF(J5&lt;&gt;0,ROUND(J25*(1-((1+M28)/(1+M26))^M27)/(M26-M28),0),0)</f>
        <v>0</v>
      </c>
      <c r="K26" s="330" t="s">
        <v>1189</v>
      </c>
      <c r="L26" s="308" t="s">
        <v>1190</v>
      </c>
      <c r="M26" s="318">
        <f ca="1">INDIRECT("'数据-取费表'!I"&amp;$G$1)</f>
        <v>5.5E-2</v>
      </c>
    </row>
    <row r="27" spans="1:37" ht="18" customHeight="1">
      <c r="A27" s="1094" t="s">
        <v>823</v>
      </c>
      <c r="B27" s="308" t="s">
        <v>1191</v>
      </c>
      <c r="C27" s="24">
        <f ca="1">ROUND(F21*F26,4)</f>
        <v>7.4999999999999997E-3</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61925</v>
      </c>
      <c r="D29" s="1205"/>
      <c r="E29" s="1203"/>
      <c r="F29" s="1206"/>
      <c r="G29" s="1531"/>
      <c r="H29" s="340" t="s">
        <v>820</v>
      </c>
      <c r="I29" s="341" t="s">
        <v>1199</v>
      </c>
      <c r="J29" s="342">
        <f ca="1">ROUND(J26/(1+F40)^F41,0)</f>
        <v>0</v>
      </c>
      <c r="K29" s="343" t="s">
        <v>1200</v>
      </c>
      <c r="L29" s="344"/>
      <c r="M29" s="345">
        <f ca="1">INDIRECT("'数据-取费表'!k"&amp;$G$1)</f>
        <v>58300.299999999996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3881</v>
      </c>
      <c r="D30" s="1200" t="s">
        <v>1145</v>
      </c>
      <c r="E30" s="1201"/>
      <c r="F30" s="1185"/>
      <c r="G30" s="1519"/>
      <c r="H30" s="2873"/>
      <c r="I30" s="1533"/>
      <c r="J30" s="1534"/>
      <c r="K30" s="2649"/>
      <c r="L30" s="2874"/>
      <c r="M30" s="2875"/>
    </row>
    <row r="31" spans="1:37" ht="18" customHeight="1">
      <c r="A31" s="1094" t="s">
        <v>822</v>
      </c>
      <c r="B31" s="308" t="s">
        <v>1149</v>
      </c>
      <c r="C31" s="2484">
        <f ca="1">ROUND(IF(AND(项目基本情况!B11="自然人",项目基本情况!B10="北京市"),C6*F31/(1+'数据-取费表'!C42),C32+C33+C34),0)</f>
        <v>2572</v>
      </c>
      <c r="D31" s="1480" t="s">
        <v>1150</v>
      </c>
      <c r="E31" s="1479" t="s">
        <v>1201</v>
      </c>
      <c r="F31" s="2483" t="str">
        <f>IF(项目基本情况!B11="企业","——",IF('数据-取费表'!B10="住宅",IF(F6*F7*F8/12/(1+'数据-取费表'!F30)&gt;100000,4%,2.5%),IF(F6*F7*F8/12/(1+'数据-取费表'!F30)&gt;100000,12%,7%)))</f>
        <v>——</v>
      </c>
      <c r="G31" s="1519"/>
      <c r="H31" s="2986" t="s">
        <v>2796</v>
      </c>
      <c r="I31" s="1533"/>
      <c r="J31" s="1534"/>
      <c r="K31" s="2649"/>
      <c r="L31" s="2874"/>
      <c r="M31" s="2875"/>
    </row>
    <row r="32" spans="1:37" ht="18" customHeight="1">
      <c r="A32" s="1094" t="s">
        <v>821</v>
      </c>
      <c r="B32" s="308" t="s">
        <v>1153</v>
      </c>
      <c r="C32" s="24">
        <f ca="1">IF(项目基本情况!B11="自然人","——",ROUND(C6*F32/(1+'数据-取费表'!C42),2))</f>
        <v>807.95</v>
      </c>
      <c r="D32" s="1479" t="s">
        <v>1154</v>
      </c>
      <c r="E32" s="308" t="s">
        <v>1142</v>
      </c>
      <c r="F32" s="337">
        <f>'数据-取费表'!B41</f>
        <v>5.6000000000000001E-2</v>
      </c>
      <c r="G32" s="1519"/>
      <c r="H32" s="2873"/>
      <c r="I32" s="1533"/>
      <c r="J32" s="1534"/>
      <c r="K32" s="2649"/>
      <c r="L32" s="2874"/>
      <c r="M32" s="2875"/>
    </row>
    <row r="33" spans="1:18" ht="18" customHeight="1">
      <c r="A33" s="1094" t="s">
        <v>823</v>
      </c>
      <c r="B33" s="308" t="s">
        <v>1157</v>
      </c>
      <c r="C33" s="24">
        <f ca="1">IF(项目基本情况!B11="自然人","——",IF(D33="按租金收入计税",ROUND(C6*F33/(1+'数据-取费表'!C42),2),IF(D33="按房产原值计税",ROUND(C29*F33*0.7,2),INDIRECT("'数据-取费表'!Aj"&amp;$G$1))))</f>
        <v>1731.31</v>
      </c>
      <c r="D33" s="1505" t="s">
        <v>3467</v>
      </c>
      <c r="E33" s="308" t="s">
        <v>1142</v>
      </c>
      <c r="F33" s="328">
        <f>IF(D33="按票据","——",IF(D33="按租金收入计税",'数据-取费表'!B51,'数据-取费表'!B50))</f>
        <v>0.12</v>
      </c>
      <c r="G33" s="1519"/>
      <c r="H33" s="2876"/>
      <c r="I33" s="1533"/>
      <c r="J33" s="1534"/>
      <c r="K33" s="2877"/>
      <c r="L33" s="2876"/>
      <c r="M33" s="2876"/>
    </row>
    <row r="34" spans="1:18" ht="18" customHeight="1">
      <c r="A34" s="1182" t="s">
        <v>1109</v>
      </c>
      <c r="B34" s="160" t="s">
        <v>1161</v>
      </c>
      <c r="C34" s="25">
        <f ca="1">IF(项目基本情况!B11="自然人","——",ROUND(F34*F35/10000,2))</f>
        <v>32.42</v>
      </c>
      <c r="D34" s="330" t="s">
        <v>1162</v>
      </c>
      <c r="E34" s="308" t="s">
        <v>1163</v>
      </c>
      <c r="F34" s="331">
        <f>'数据-取费表'!B52</f>
        <v>30</v>
      </c>
      <c r="G34" s="1519"/>
      <c r="H34" s="2873"/>
      <c r="I34" s="1533"/>
      <c r="J34" s="1534"/>
      <c r="K34" s="2878"/>
      <c r="L34" s="2879"/>
      <c r="M34" s="2879"/>
    </row>
    <row r="35" spans="1:18" ht="18" customHeight="1">
      <c r="A35" s="1216"/>
      <c r="B35" s="1214"/>
      <c r="C35" s="29"/>
      <c r="D35" s="333"/>
      <c r="E35" s="308" t="s">
        <v>1167</v>
      </c>
      <c r="F35" s="309">
        <f ca="1">INDIRECT("'数据-取费表'!r"&amp;$G$1)</f>
        <v>10807.05</v>
      </c>
      <c r="G35" s="1519"/>
      <c r="H35" s="2873"/>
      <c r="I35" s="1533"/>
      <c r="J35" s="1534"/>
      <c r="K35" s="2877"/>
      <c r="L35" s="2876"/>
      <c r="M35" s="2876"/>
    </row>
    <row r="36" spans="1:18" ht="18" customHeight="1">
      <c r="A36" s="1215" t="s">
        <v>826</v>
      </c>
      <c r="B36" s="308" t="s">
        <v>1169</v>
      </c>
      <c r="C36" s="24">
        <f ca="1">ROUND(C29*F36,1)</f>
        <v>928.9</v>
      </c>
      <c r="D36" s="1479" t="s">
        <v>1202</v>
      </c>
      <c r="E36" s="308" t="s">
        <v>1142</v>
      </c>
      <c r="F36" s="334">
        <f ca="1">INDIRECT("'数据-取费表'!Ak"&amp;$G$1)</f>
        <v>1.4999999999999999E-2</v>
      </c>
      <c r="G36" s="1519"/>
      <c r="H36" s="2876"/>
      <c r="I36" s="1533"/>
      <c r="J36" s="1534"/>
      <c r="K36" s="2717"/>
      <c r="L36" s="2876"/>
      <c r="M36" s="2876"/>
    </row>
    <row r="37" spans="1:18" ht="18" customHeight="1">
      <c r="A37" s="1094" t="s">
        <v>862</v>
      </c>
      <c r="B37" s="308" t="s">
        <v>1173</v>
      </c>
      <c r="C37" s="24">
        <f ca="1">ROUND(C13*F37,1)</f>
        <v>76.2</v>
      </c>
      <c r="D37" s="1479" t="s">
        <v>1174</v>
      </c>
      <c r="E37" s="308" t="s">
        <v>1175</v>
      </c>
      <c r="F37" s="336">
        <f ca="1">INDIRECT("'数据-取费表'!Al"&amp;$G$1)</f>
        <v>1.5E-3</v>
      </c>
      <c r="G37" s="1519"/>
      <c r="H37" s="2876"/>
      <c r="I37" s="1533"/>
      <c r="J37" s="1534"/>
      <c r="K37" s="2717"/>
      <c r="L37" s="2876"/>
      <c r="M37" s="2876"/>
    </row>
    <row r="38" spans="1:18" ht="18" customHeight="1" thickBot="1">
      <c r="A38" s="1202" t="s">
        <v>1113</v>
      </c>
      <c r="B38" s="1203" t="s">
        <v>1159</v>
      </c>
      <c r="C38" s="1204">
        <f ca="1">ROUND(C5*F38,1)</f>
        <v>303.39999999999998</v>
      </c>
      <c r="D38" s="1205" t="s">
        <v>1179</v>
      </c>
      <c r="E38" s="1203" t="s">
        <v>1175</v>
      </c>
      <c r="F38" s="1199">
        <f ca="1">INDIRECT("'数据-取费表'!Am"&amp;$G$1)</f>
        <v>0.02</v>
      </c>
      <c r="G38" s="1519"/>
      <c r="H38" s="2876"/>
      <c r="I38" s="1533"/>
      <c r="J38" s="1534"/>
      <c r="K38" s="2880"/>
      <c r="L38" s="2876"/>
      <c r="M38" s="2876"/>
    </row>
    <row r="39" spans="1:18" ht="24.6" customHeight="1" thickTop="1">
      <c r="A39" s="1192" t="s">
        <v>818</v>
      </c>
      <c r="B39" s="1207" t="s">
        <v>1203</v>
      </c>
      <c r="C39" s="316">
        <f ca="1">C5-C30</f>
        <v>11287</v>
      </c>
      <c r="D39" s="1208" t="s">
        <v>1204</v>
      </c>
      <c r="E39" s="1209"/>
      <c r="F39" s="1210"/>
      <c r="G39" s="1519"/>
      <c r="H39" s="2876"/>
      <c r="I39" s="1533"/>
      <c r="J39" s="1534"/>
      <c r="K39" s="2880"/>
      <c r="L39" s="2876"/>
      <c r="M39" s="2876"/>
    </row>
    <row r="40" spans="1:18" ht="18" customHeight="1">
      <c r="A40" s="305" t="s">
        <v>819</v>
      </c>
      <c r="B40" s="306" t="s">
        <v>1205</v>
      </c>
      <c r="C40" s="307">
        <f ca="1">ROUND(C39*(1-((1+F42)/(1+F40))^F41)/(F40-F42),0)</f>
        <v>168224</v>
      </c>
      <c r="D40" s="330" t="s">
        <v>1189</v>
      </c>
      <c r="E40" s="308" t="s">
        <v>1190</v>
      </c>
      <c r="F40" s="318">
        <f ca="1">INDIRECT("'数据-取费表'!I"&amp;$G$1)</f>
        <v>5.5E-2</v>
      </c>
      <c r="G40" s="1519"/>
      <c r="H40" s="1596"/>
      <c r="I40" s="1533"/>
      <c r="J40" s="1534"/>
      <c r="K40" s="2880"/>
      <c r="L40" s="1596"/>
      <c r="M40" s="1596"/>
    </row>
    <row r="41" spans="1:18" ht="18" customHeight="1">
      <c r="A41" s="310"/>
      <c r="B41" s="311"/>
      <c r="C41" s="312"/>
      <c r="D41" s="338" t="s">
        <v>1206</v>
      </c>
      <c r="E41" s="308" t="s">
        <v>1194</v>
      </c>
      <c r="F41" s="339">
        <f ca="1">IF(INDIRECT("'数据-取费表'!af"&amp;$G$1)=0,INDIRECT("'数据-取费表'!ae"&amp;$G$1),INDIRECT("'数据-取费表'!af"&amp;$G$1))</f>
        <v>32</v>
      </c>
      <c r="G41" s="1519"/>
      <c r="H41" s="1306"/>
      <c r="I41" s="1533"/>
      <c r="J41" s="1534"/>
      <c r="K41" s="2717"/>
      <c r="L41" s="1306"/>
      <c r="M41" s="1306"/>
    </row>
    <row r="42" spans="1:18" ht="18" customHeight="1">
      <c r="A42" s="314"/>
      <c r="B42" s="315"/>
      <c r="C42" s="316"/>
      <c r="D42" s="333"/>
      <c r="E42" s="308" t="s">
        <v>1197</v>
      </c>
      <c r="F42" s="318">
        <f ca="1">INDIRECT("'数据-取费表'!v"&amp;$G$1)</f>
        <v>0</v>
      </c>
      <c r="G42" s="1519"/>
      <c r="H42" s="1306"/>
      <c r="I42" s="1533"/>
      <c r="J42" s="1534"/>
      <c r="K42" s="2717"/>
      <c r="L42" s="1306"/>
      <c r="M42" s="1306"/>
    </row>
    <row r="43" spans="1:18" ht="18" customHeight="1" thickBot="1">
      <c r="A43" s="340" t="s">
        <v>820</v>
      </c>
      <c r="B43" s="341" t="s">
        <v>1207</v>
      </c>
      <c r="C43" s="342">
        <f ca="1">ROUND(C40*10000/F43,0)</f>
        <v>28855</v>
      </c>
      <c r="D43" s="343" t="s">
        <v>1208</v>
      </c>
      <c r="E43" s="344" t="s">
        <v>1209</v>
      </c>
      <c r="F43" s="345">
        <f ca="1">INDIRECT("'数据-取费表'!k"&amp;$G$1)</f>
        <v>58300.299999999996</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f>61925*40%/(1+7.5%)^32</f>
        <v>2448.2465463405433</v>
      </c>
      <c r="O45" s="2881" t="s">
        <v>1239</v>
      </c>
      <c r="P45" s="1596"/>
      <c r="Q45" s="1596"/>
      <c r="R45" s="1596"/>
    </row>
    <row r="46" spans="1:18" s="1519" customFormat="1" ht="13.5" thickBot="1">
      <c r="A46" s="1539" t="s">
        <v>1240</v>
      </c>
      <c r="C46" s="1540">
        <f ca="1">C68-C40</f>
        <v>-261211</v>
      </c>
      <c r="D46" s="1541" t="str">
        <f>C2</f>
        <v>万元</v>
      </c>
      <c r="E46" s="1535"/>
      <c r="F46" s="1535"/>
      <c r="I46" s="1542" t="s">
        <v>1241</v>
      </c>
      <c r="J46" s="1543"/>
      <c r="K46" s="1544"/>
      <c r="L46" s="1545">
        <f ca="1">IF(M47="住宅",0,IF(L48&gt;J51,L60,J60))</f>
        <v>2448</v>
      </c>
      <c r="O46" s="1546" t="s">
        <v>1242</v>
      </c>
      <c r="P46" s="1547" t="s">
        <v>1243</v>
      </c>
      <c r="Q46" s="1548" t="s">
        <v>1244</v>
      </c>
      <c r="R46" s="1548" t="s">
        <v>1245</v>
      </c>
    </row>
    <row r="47" spans="1:18" s="1519" customFormat="1" ht="13.5" thickBot="1">
      <c r="A47" s="1058" t="s">
        <v>1116</v>
      </c>
      <c r="B47" s="1090" t="s">
        <v>1117</v>
      </c>
      <c r="C47" s="1230" t="s">
        <v>1118</v>
      </c>
      <c r="D47" s="1090" t="s">
        <v>1119</v>
      </c>
      <c r="E47" s="1170" t="s">
        <v>1120</v>
      </c>
      <c r="F47" s="1171"/>
      <c r="G47" s="731"/>
      <c r="I47" s="1549" t="s">
        <v>1246</v>
      </c>
      <c r="J47" s="1550" t="s">
        <v>3489</v>
      </c>
      <c r="K47" s="1551" t="s">
        <v>1247</v>
      </c>
      <c r="L47" s="1552">
        <f ca="1">INDIRECT("'数据-取费表'!d"&amp;$G$1)</f>
        <v>40</v>
      </c>
      <c r="M47" s="1515" t="str">
        <f>IF(ISNUMBER(FIND("住宅",C1)),"住宅","非住宅")</f>
        <v>非住宅</v>
      </c>
      <c r="O47" s="1553" t="s">
        <v>827</v>
      </c>
      <c r="P47" s="1554" t="s">
        <v>1248</v>
      </c>
      <c r="Q47" s="1555">
        <f ca="1">C40+J29</f>
        <v>168224</v>
      </c>
      <c r="R47" s="1555" t="s">
        <v>1249</v>
      </c>
    </row>
    <row r="48" spans="1:18" s="1519" customFormat="1" ht="28.5" thickBot="1">
      <c r="A48" s="1223" t="s">
        <v>863</v>
      </c>
      <c r="B48" s="306" t="s">
        <v>1121</v>
      </c>
      <c r="C48" s="1494">
        <f ca="1">C49+C53+C55</f>
        <v>0</v>
      </c>
      <c r="D48" s="1225"/>
      <c r="E48" s="1226"/>
      <c r="F48" s="1074"/>
      <c r="G48" s="731"/>
      <c r="H48" s="732"/>
      <c r="I48" s="1556" t="s">
        <v>1250</v>
      </c>
      <c r="J48" s="1557" t="s">
        <v>3468</v>
      </c>
      <c r="K48" s="1558" t="s">
        <v>1251</v>
      </c>
      <c r="L48" s="1559">
        <f ca="1">INDIRECT("'数据-取费表'!f"&amp;$G$1)</f>
        <v>32</v>
      </c>
      <c r="O48" s="1553" t="s">
        <v>828</v>
      </c>
      <c r="P48" s="1554" t="s">
        <v>1252</v>
      </c>
      <c r="Q48" s="1555">
        <f ca="1">J60</f>
        <v>2448</v>
      </c>
      <c r="R48" s="1555" t="s">
        <v>1253</v>
      </c>
    </row>
    <row r="49" spans="1:18" s="1519" customFormat="1" ht="13.5" thickBot="1">
      <c r="A49" s="1087" t="s">
        <v>864</v>
      </c>
      <c r="B49" s="1506" t="s">
        <v>1210</v>
      </c>
      <c r="C49" s="1227">
        <f ca="1">ROUND(F49*F51*F50*(1-F52)/10000,0)</f>
        <v>0</v>
      </c>
      <c r="D49" s="1167" t="s">
        <v>2605</v>
      </c>
      <c r="E49" s="1507" t="s">
        <v>1211</v>
      </c>
      <c r="F49" s="1172"/>
      <c r="G49" s="1560"/>
      <c r="H49" s="732"/>
      <c r="I49" s="1556" t="s">
        <v>1254</v>
      </c>
      <c r="J49" s="1561">
        <v>2018</v>
      </c>
      <c r="K49" s="1558" t="s">
        <v>1255</v>
      </c>
      <c r="L49" s="1562"/>
      <c r="O49" s="1563" t="s">
        <v>829</v>
      </c>
      <c r="P49" s="1554" t="s">
        <v>1256</v>
      </c>
      <c r="Q49" s="1555">
        <f ca="1">C29</f>
        <v>61925</v>
      </c>
      <c r="R49" s="1555" t="s">
        <v>1249</v>
      </c>
    </row>
    <row r="50" spans="1:18" s="1519" customFormat="1" ht="13.5" thickBot="1">
      <c r="A50" s="1088"/>
      <c r="B50" s="1091"/>
      <c r="C50" s="1231"/>
      <c r="D50" s="1065"/>
      <c r="E50" s="1168" t="s">
        <v>1126</v>
      </c>
      <c r="F50" s="1169">
        <f ca="1">F7</f>
        <v>58300.299999999996</v>
      </c>
      <c r="H50" s="732"/>
      <c r="I50" s="1556" t="s">
        <v>1257</v>
      </c>
      <c r="J50" s="1564">
        <f>SUMPRODUCT((I63:I65=J47)*(J62:L62=J48)*(J63:L65))</f>
        <v>60</v>
      </c>
      <c r="K50" s="1558" t="s">
        <v>1258</v>
      </c>
      <c r="L50" s="1562"/>
      <c r="M50" s="1565"/>
      <c r="O50" s="1563" t="s">
        <v>830</v>
      </c>
      <c r="P50" s="1554" t="s">
        <v>1259</v>
      </c>
      <c r="Q50" s="1566">
        <f ca="1">J58</f>
        <v>0.4</v>
      </c>
      <c r="R50" s="1555"/>
    </row>
    <row r="51" spans="1:18" s="1519" customFormat="1" ht="13.5" thickBot="1">
      <c r="A51" s="1089"/>
      <c r="B51" s="1091"/>
      <c r="C51" s="1092"/>
      <c r="D51" s="1065"/>
      <c r="E51" s="1093" t="s">
        <v>1127</v>
      </c>
      <c r="F51" s="309">
        <f ca="1">F8</f>
        <v>365</v>
      </c>
      <c r="I51" s="1567" t="s">
        <v>1260</v>
      </c>
      <c r="J51" s="1568">
        <f>IF(J49="",J50,J49+J50-YEAR('数据-取费表'!B2))</f>
        <v>56</v>
      </c>
      <c r="K51" s="1569" t="s">
        <v>1261</v>
      </c>
      <c r="L51" s="1570">
        <f ca="1">ROUND(-PV(INDIRECT("'数据-取费表'!h"&amp;$G$1),J51,(C39-C13*C76),0),0)</f>
        <v>139838</v>
      </c>
      <c r="M51" s="1571"/>
      <c r="O51" s="1563" t="s">
        <v>831</v>
      </c>
      <c r="P51" s="1554" t="s">
        <v>1262</v>
      </c>
      <c r="Q51" s="1566">
        <f>J52</f>
        <v>7.4999999999999997E-2</v>
      </c>
      <c r="R51" s="1555"/>
    </row>
    <row r="52" spans="1:18" s="1519" customFormat="1" ht="13.5" thickBot="1">
      <c r="A52" s="1089"/>
      <c r="B52" s="1091"/>
      <c r="C52" s="1092"/>
      <c r="D52" s="1065"/>
      <c r="E52" s="1093" t="s">
        <v>1128</v>
      </c>
      <c r="F52" s="1166"/>
      <c r="I52" s="1572" t="s">
        <v>1263</v>
      </c>
      <c r="J52" s="1573">
        <v>7.4999999999999997E-2</v>
      </c>
      <c r="K52" s="1572" t="s">
        <v>1264</v>
      </c>
      <c r="L52" s="1573"/>
      <c r="O52" s="1563" t="s">
        <v>832</v>
      </c>
      <c r="P52" s="1554" t="s">
        <v>1265</v>
      </c>
      <c r="Q52" s="1555">
        <f ca="1">J53</f>
        <v>32</v>
      </c>
      <c r="R52" s="1555" t="s">
        <v>1266</v>
      </c>
    </row>
    <row r="53" spans="1:18" s="1519" customFormat="1" ht="24.75" thickBot="1">
      <c r="A53" s="1267" t="s">
        <v>865</v>
      </c>
      <c r="B53" s="1508" t="s">
        <v>1129</v>
      </c>
      <c r="C53" s="322">
        <f ca="1">ROUND(IF(F53="押一",C49/12*F11,IF(F53="押二",C49/12*2*F11,IF(F53="押三",C49/12*3*F11,C54*F11))),0)</f>
        <v>0</v>
      </c>
      <c r="D53" s="1501" t="s">
        <v>2611</v>
      </c>
      <c r="E53" s="319" t="s">
        <v>1130</v>
      </c>
      <c r="F53" s="1229"/>
      <c r="I53" s="1574" t="s">
        <v>1267</v>
      </c>
      <c r="J53" s="2336">
        <f ca="1">IF(M47="住宅",IF(D1="——",MAX(J51,L48),MAX(J51,L48-'数据-取费表'!B24)),IF(D1="——",MIN(J51,L48),MIN(J51,L48-'数据-取费表'!B24)))</f>
        <v>32</v>
      </c>
      <c r="K53" s="3466" t="s">
        <v>1268</v>
      </c>
      <c r="L53" s="3467"/>
      <c r="O53" s="1553" t="s">
        <v>833</v>
      </c>
      <c r="P53" s="1554" t="s">
        <v>1269</v>
      </c>
      <c r="Q53" s="1555">
        <f ca="1">Q47+Q48</f>
        <v>170672</v>
      </c>
      <c r="R53" s="1555" t="s">
        <v>834</v>
      </c>
    </row>
    <row r="54" spans="1:18" s="1519" customFormat="1" ht="13.5" thickBot="1">
      <c r="A54" s="1268"/>
      <c r="B54" s="1502" t="s">
        <v>1108</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f ca="1">ROUND(IF(J47="钢混",J57/J50,1-(1-2%)*(J50-J57)/J50),3)</f>
        <v>0.4</v>
      </c>
      <c r="K55" s="1580" t="s">
        <v>1272</v>
      </c>
      <c r="L55" s="1581" t="s">
        <v>1273</v>
      </c>
      <c r="O55" s="1546" t="s">
        <v>1242</v>
      </c>
      <c r="P55" s="1547" t="s">
        <v>1243</v>
      </c>
      <c r="Q55" s="1548" t="s">
        <v>1244</v>
      </c>
      <c r="R55" s="1548" t="s">
        <v>1245</v>
      </c>
    </row>
    <row r="56" spans="1:18" s="1519" customFormat="1" ht="25.5" thickTop="1" thickBot="1">
      <c r="A56" s="1069">
        <v>2</v>
      </c>
      <c r="B56" s="1070" t="s">
        <v>1134</v>
      </c>
      <c r="C56" s="238">
        <f ca="1">C13</f>
        <v>50779</v>
      </c>
      <c r="D56" s="1582"/>
      <c r="E56" s="1583"/>
      <c r="F56" s="1575"/>
      <c r="I56" s="1584" t="s">
        <v>1274</v>
      </c>
      <c r="J56" s="1585" t="s">
        <v>3469</v>
      </c>
      <c r="K56" s="1556" t="s">
        <v>1275</v>
      </c>
      <c r="L56" s="1559" t="str">
        <f ca="1">IF(L48&lt;J51,"——",L48-J53)</f>
        <v>——</v>
      </c>
      <c r="O56" s="1553" t="s">
        <v>827</v>
      </c>
      <c r="P56" s="1554" t="s">
        <v>1248</v>
      </c>
      <c r="Q56" s="1555">
        <f ca="1">C40+J29</f>
        <v>168224</v>
      </c>
      <c r="R56" s="1555" t="s">
        <v>1249</v>
      </c>
    </row>
    <row r="57" spans="1:18" s="1519" customFormat="1" ht="24.75" thickBot="1">
      <c r="A57" s="1586"/>
      <c r="B57" s="1062" t="s">
        <v>1198</v>
      </c>
      <c r="C57" s="244">
        <f ca="1">C29</f>
        <v>61925</v>
      </c>
      <c r="D57" s="1587"/>
      <c r="E57" s="1588"/>
      <c r="F57" s="1589"/>
      <c r="I57" s="1590" t="s">
        <v>1276</v>
      </c>
      <c r="J57" s="1591">
        <f ca="1">IF(OR(M47="住宅",J51&lt;L48,J56="是"),"——",J51-L48)</f>
        <v>24</v>
      </c>
      <c r="K57" s="1556" t="s">
        <v>1277</v>
      </c>
      <c r="L57" s="1559" t="str">
        <f ca="1">IF(L48&lt;J51,"——",IF(L55="比较法",L49,IF(L55="基准地价",L50,L51)))</f>
        <v>——</v>
      </c>
      <c r="O57" s="1553" t="s">
        <v>828</v>
      </c>
      <c r="P57" s="1554" t="s">
        <v>1278</v>
      </c>
      <c r="Q57" s="1555">
        <f ca="1">L60</f>
        <v>0</v>
      </c>
      <c r="R57" s="1555" t="s">
        <v>1279</v>
      </c>
    </row>
    <row r="58" spans="1:18" s="1519" customFormat="1" ht="24.75" thickBot="1">
      <c r="A58" s="321" t="s">
        <v>817</v>
      </c>
      <c r="B58" s="1070" t="s">
        <v>1144</v>
      </c>
      <c r="C58" s="322">
        <f ca="1">ROUND(C59+C64+C65+C66,0)</f>
        <v>6239</v>
      </c>
      <c r="D58" s="1072" t="s">
        <v>1145</v>
      </c>
      <c r="E58" s="1073"/>
      <c r="F58" s="1074"/>
      <c r="I58" s="1590" t="s">
        <v>1280</v>
      </c>
      <c r="J58" s="1592">
        <f ca="1">IF(J55&lt;0.4,0.4,J55)</f>
        <v>0.4</v>
      </c>
      <c r="K58" s="1569" t="s">
        <v>1281</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4">
        <f ca="1">ROUND(IF(AND(项目基本情况!B11="自然人",项目基本情况!B10="北京市"),C49*F59/(1+'数据-取费表'!C42),C60+C61+C62),0)</f>
        <v>5234</v>
      </c>
      <c r="D59" s="1075" t="s">
        <v>1150</v>
      </c>
      <c r="E59" s="1076" t="s">
        <v>1151</v>
      </c>
      <c r="F59" s="2483" t="str">
        <f>IF(项目基本情况!B11="企业","——",IF('数据-取费表'!B10="住宅",IF(F49*F50*F51/12/(1+'数据-取费表'!F30)&gt;100000,4%,2.5%),IF(F49*F50*F51/12/(1+'数据-取费表'!F30)&gt;100000,12%,7%)))</f>
        <v>——</v>
      </c>
      <c r="I59" s="1590" t="s">
        <v>1283</v>
      </c>
      <c r="J59" s="1591">
        <f ca="1">IF(OR(M47="住宅",J51&lt;L48,J56="是"),"——",ROUND(C29*J58,0))</f>
        <v>24770</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IF(项目基本情况!B11="自然人","——",ROUND(C48*F60/(1+'数据-取费表'!C42),2))</f>
        <v>0</v>
      </c>
      <c r="D60" s="1076" t="s">
        <v>1154</v>
      </c>
      <c r="E60" s="1062" t="s">
        <v>1142</v>
      </c>
      <c r="F60" s="337">
        <f t="shared" ref="F60:F66" si="0">F32</f>
        <v>5.6000000000000001E-2</v>
      </c>
      <c r="I60" s="1593" t="s">
        <v>1285</v>
      </c>
      <c r="J60" s="1594">
        <f ca="1">IF(OR(M47="住宅",J51&lt;L48,J56="是"),"0",ROUND(J59/(1+J52)^J53,0))</f>
        <v>2448</v>
      </c>
      <c r="K60" s="1595" t="s">
        <v>1286</v>
      </c>
      <c r="L60" s="1594">
        <f ca="1">IF(OR(M47="住宅",L48&lt;J51),0,ROUND(L57*(L58/L59-1),0))</f>
        <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IF(项目基本情况!B11="自然人","——",IF(D61="按租金收入计税",ROUND(C49*F61/(1+'数据-取费表'!C42),2),IF(D61="按房产原值计税",ROUND(C57*F61*0.7,2),INDIRECT("'数据-取费表'!Aj"&amp;$G$1))))</f>
        <v>5201.7</v>
      </c>
      <c r="D61" s="1505" t="s">
        <v>1158</v>
      </c>
      <c r="E61" s="1062" t="s">
        <v>1214</v>
      </c>
      <c r="F61" s="328">
        <f t="shared" si="0"/>
        <v>0.12</v>
      </c>
      <c r="I61" s="1596"/>
      <c r="J61" s="1596"/>
      <c r="K61" s="1596"/>
      <c r="L61" s="1596"/>
      <c r="O61" s="1563" t="s">
        <v>832</v>
      </c>
      <c r="P61" s="1554" t="str">
        <f>K59</f>
        <v>建筑物剩余耐用年限下的土地年期修正系数Kn</v>
      </c>
      <c r="Q61" s="1555" t="e">
        <f ca="1">L59</f>
        <v>#DIV/0!</v>
      </c>
      <c r="R61" s="1555" t="s">
        <v>1289</v>
      </c>
    </row>
    <row r="62" spans="1:18" s="1519" customFormat="1" ht="13.5" thickBot="1">
      <c r="A62" s="1094" t="s">
        <v>1215</v>
      </c>
      <c r="B62" s="1061" t="s">
        <v>1216</v>
      </c>
      <c r="C62" s="25">
        <f ca="1">IF(项目基本情况!B11="自然人","——",ROUND(F62*F63/10000,2))</f>
        <v>32.42</v>
      </c>
      <c r="D62" s="1077" t="s">
        <v>1217</v>
      </c>
      <c r="E62" s="1062" t="s">
        <v>1218</v>
      </c>
      <c r="F62" s="331">
        <f t="shared" si="0"/>
        <v>30</v>
      </c>
      <c r="I62" s="1597" t="s">
        <v>1290</v>
      </c>
      <c r="J62" s="1598" t="s">
        <v>1291</v>
      </c>
      <c r="K62" s="1598" t="s">
        <v>1292</v>
      </c>
      <c r="L62" s="1598" t="s">
        <v>1293</v>
      </c>
      <c r="M62" s="1599" t="s">
        <v>1294</v>
      </c>
      <c r="O62" s="1553" t="s">
        <v>833</v>
      </c>
      <c r="P62" s="1554" t="s">
        <v>1295</v>
      </c>
      <c r="Q62" s="1555">
        <f ca="1">Q56+Q57</f>
        <v>168224</v>
      </c>
      <c r="R62" s="1555" t="s">
        <v>834</v>
      </c>
    </row>
    <row r="63" spans="1:18" s="1519" customFormat="1" ht="13.5" thickBot="1">
      <c r="A63" s="332"/>
      <c r="B63" s="1068"/>
      <c r="C63" s="29"/>
      <c r="D63" s="1078"/>
      <c r="E63" s="1062" t="s">
        <v>1219</v>
      </c>
      <c r="F63" s="309">
        <f t="shared" ca="1" si="0"/>
        <v>10807.05</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ROUND(C57*F64,1)</f>
        <v>928.9</v>
      </c>
      <c r="D64" s="1076" t="s">
        <v>1222</v>
      </c>
      <c r="E64" s="1062" t="s">
        <v>1214</v>
      </c>
      <c r="F64" s="334">
        <f t="shared" ca="1" si="0"/>
        <v>1.4999999999999999E-2</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ROUND(C56*F65,1)</f>
        <v>76.2</v>
      </c>
      <c r="D65" s="1076" t="s">
        <v>1174</v>
      </c>
      <c r="E65" s="1062" t="s">
        <v>1175</v>
      </c>
      <c r="F65" s="336">
        <f t="shared" ca="1" si="0"/>
        <v>1.5E-3</v>
      </c>
      <c r="I65" s="1597" t="s">
        <v>1299</v>
      </c>
      <c r="J65" s="1598">
        <v>40</v>
      </c>
      <c r="K65" s="1598">
        <v>30</v>
      </c>
      <c r="L65" s="1598">
        <v>50</v>
      </c>
      <c r="M65" s="1600">
        <v>0.02</v>
      </c>
      <c r="O65" s="1553" t="s">
        <v>827</v>
      </c>
      <c r="P65" s="1554" t="s">
        <v>1300</v>
      </c>
      <c r="Q65" s="1555">
        <f ca="1">C40+J29</f>
        <v>168224</v>
      </c>
      <c r="R65" s="1555" t="s">
        <v>1249</v>
      </c>
    </row>
    <row r="66" spans="1:18" s="1519" customFormat="1" ht="16.5" thickBot="1">
      <c r="A66" s="1094" t="s">
        <v>1224</v>
      </c>
      <c r="B66" s="1062" t="s">
        <v>1159</v>
      </c>
      <c r="C66" s="24">
        <f ca="1">ROUND(C48*F66,1)</f>
        <v>0</v>
      </c>
      <c r="D66" s="1076" t="s">
        <v>1225</v>
      </c>
      <c r="E66" s="1062" t="s">
        <v>1142</v>
      </c>
      <c r="F66" s="318">
        <f t="shared" ca="1" si="0"/>
        <v>0.02</v>
      </c>
      <c r="O66" s="1553" t="s">
        <v>828</v>
      </c>
      <c r="P66" s="1554" t="s">
        <v>1278</v>
      </c>
      <c r="Q66" s="1555">
        <f ca="1">L60</f>
        <v>0</v>
      </c>
      <c r="R66" s="1555" t="s">
        <v>1301</v>
      </c>
    </row>
    <row r="67" spans="1:18" s="1519" customFormat="1" ht="16.5" thickBot="1">
      <c r="A67" s="1069" t="s">
        <v>818</v>
      </c>
      <c r="B67" s="1079" t="s">
        <v>1183</v>
      </c>
      <c r="C67" s="322">
        <f ca="1">C48-C58</f>
        <v>-6239</v>
      </c>
      <c r="D67" s="1075" t="s">
        <v>1184</v>
      </c>
      <c r="E67" s="1080"/>
      <c r="F67" s="1081"/>
      <c r="O67" s="1563" t="s">
        <v>829</v>
      </c>
      <c r="P67" s="1554" t="s">
        <v>1282</v>
      </c>
      <c r="Q67" s="1601">
        <f ca="1">L51</f>
        <v>139838</v>
      </c>
      <c r="R67" s="1555" t="s">
        <v>1302</v>
      </c>
    </row>
    <row r="68" spans="1:18" s="1519" customFormat="1" ht="16.5" thickBot="1">
      <c r="A68" s="1059" t="s">
        <v>819</v>
      </c>
      <c r="B68" s="1060" t="s">
        <v>1205</v>
      </c>
      <c r="C68" s="307">
        <f ca="1">ROUND(C67*(1-((1+F70)/(1+F68))^F69)/(F68-F70),0)</f>
        <v>-92987</v>
      </c>
      <c r="D68" s="1077" t="s">
        <v>1189</v>
      </c>
      <c r="E68" s="1062" t="s">
        <v>1190</v>
      </c>
      <c r="F68" s="318">
        <f ca="1">F40</f>
        <v>5.5E-2</v>
      </c>
      <c r="I68" s="1519" t="s">
        <v>3589</v>
      </c>
      <c r="O68" s="1563" t="s">
        <v>830</v>
      </c>
      <c r="P68" s="1602" t="s">
        <v>1303</v>
      </c>
      <c r="Q68" s="1555">
        <f ca="1">ROUND(Q69-Q70*Q71,0)</f>
        <v>7479</v>
      </c>
      <c r="R68" s="1555" t="s">
        <v>838</v>
      </c>
    </row>
    <row r="69" spans="1:18" s="1519" customFormat="1" ht="13.5" thickBot="1">
      <c r="A69" s="1063"/>
      <c r="B69" s="1064"/>
      <c r="C69" s="312"/>
      <c r="D69" s="1082" t="s">
        <v>1193</v>
      </c>
      <c r="E69" s="1062" t="s">
        <v>1194</v>
      </c>
      <c r="F69" s="339">
        <f ca="1">F41</f>
        <v>32</v>
      </c>
      <c r="O69" s="1563" t="s">
        <v>835</v>
      </c>
      <c r="P69" s="1602" t="s">
        <v>1304</v>
      </c>
      <c r="Q69" s="1555">
        <f ca="1">C39</f>
        <v>11287</v>
      </c>
      <c r="R69" s="1555" t="s">
        <v>1249</v>
      </c>
    </row>
    <row r="70" spans="1:18" s="1519" customFormat="1" ht="13.5" thickBot="1">
      <c r="A70" s="1066"/>
      <c r="B70" s="1067"/>
      <c r="C70" s="316"/>
      <c r="D70" s="1078"/>
      <c r="E70" s="1062" t="s">
        <v>1197</v>
      </c>
      <c r="F70" s="1166"/>
      <c r="O70" s="1563" t="s">
        <v>836</v>
      </c>
      <c r="P70" s="1602" t="s">
        <v>1305</v>
      </c>
      <c r="Q70" s="1555">
        <f ca="1">C13</f>
        <v>50779</v>
      </c>
      <c r="R70" s="1555" t="s">
        <v>1249</v>
      </c>
    </row>
    <row r="71" spans="1:18" s="1519" customFormat="1" ht="13.5" thickBot="1">
      <c r="A71" s="1083" t="s">
        <v>820</v>
      </c>
      <c r="B71" s="1084" t="s">
        <v>1207</v>
      </c>
      <c r="C71" s="342">
        <f ca="1">ROUND(C68*10000/F71,0)</f>
        <v>-15950</v>
      </c>
      <c r="D71" s="1085" t="s">
        <v>1208</v>
      </c>
      <c r="E71" s="1086" t="s">
        <v>1209</v>
      </c>
      <c r="F71" s="345">
        <f ca="1">F43</f>
        <v>58300.299999999996</v>
      </c>
      <c r="O71" s="1563" t="s">
        <v>837</v>
      </c>
      <c r="P71" s="1602" t="s">
        <v>1306</v>
      </c>
      <c r="Q71" s="1566">
        <f ca="1">C76</f>
        <v>7.4999999999999997E-2</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建筑物剩余耐用年限下的土地年期修正系数Kn</v>
      </c>
      <c r="Q74" s="1555" t="e">
        <f ca="1">L59</f>
        <v>#DIV/0!</v>
      </c>
      <c r="R74" s="1555" t="s">
        <v>1289</v>
      </c>
    </row>
    <row r="75" spans="1:18" ht="13.5" thickBot="1">
      <c r="A75" s="1519"/>
      <c r="B75" s="346" t="s">
        <v>1226</v>
      </c>
      <c r="C75" s="347">
        <f ca="1">ROUND(C13*C76,0)</f>
        <v>3808</v>
      </c>
      <c r="D75" s="1519"/>
      <c r="E75" s="1519"/>
      <c r="F75" s="1519"/>
      <c r="K75" s="1537"/>
      <c r="L75" s="1519"/>
      <c r="O75" s="1553" t="s">
        <v>833</v>
      </c>
      <c r="P75" s="1554" t="s">
        <v>1269</v>
      </c>
      <c r="Q75" s="1555">
        <f ca="1">Q65+Q66</f>
        <v>168224</v>
      </c>
      <c r="R75" s="1555" t="s">
        <v>834</v>
      </c>
    </row>
    <row r="76" spans="1:18">
      <c r="B76" s="348" t="s">
        <v>1227</v>
      </c>
      <c r="C76" s="349">
        <f ca="1">INDIRECT("'数据-取费表'!j"&amp;$G$1)</f>
        <v>7.4999999999999997E-2</v>
      </c>
      <c r="I76" s="1519"/>
      <c r="J76" s="1519"/>
      <c r="K76" s="1537"/>
      <c r="L76" s="1519"/>
    </row>
    <row r="77" spans="1:18">
      <c r="B77" s="350" t="s">
        <v>1228</v>
      </c>
      <c r="C77" s="351"/>
      <c r="I77" s="1519"/>
      <c r="J77" s="1519"/>
      <c r="K77" s="1537"/>
      <c r="L77" s="1519"/>
    </row>
    <row r="78" spans="1:18">
      <c r="B78" s="276" t="s">
        <v>1229</v>
      </c>
      <c r="C78" s="352"/>
    </row>
    <row r="79" spans="1:18">
      <c r="B79" s="346" t="s">
        <v>1230</v>
      </c>
      <c r="C79" s="280">
        <f ca="1">1-C80</f>
        <v>0.66300000000000003</v>
      </c>
    </row>
    <row r="80" spans="1:18">
      <c r="B80" s="346" t="s">
        <v>1231</v>
      </c>
      <c r="C80" s="280">
        <f ca="1">ROUND(C75/C39,3)</f>
        <v>0.33700000000000002</v>
      </c>
    </row>
    <row r="81" spans="2:3">
      <c r="B81" s="276" t="s">
        <v>1232</v>
      </c>
      <c r="C81" s="244"/>
    </row>
    <row r="82" spans="2:3">
      <c r="B82" s="279" t="s">
        <v>1233</v>
      </c>
      <c r="C82" s="281">
        <f ca="1">1-C83</f>
        <v>0.69799999999999995</v>
      </c>
    </row>
    <row r="83" spans="2:3">
      <c r="B83" s="279" t="s">
        <v>1234</v>
      </c>
      <c r="C83" s="280">
        <f ca="1">ROUND(C13/C40,3)</f>
        <v>0.30199999999999999</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1309</v>
      </c>
      <c r="B1" s="722"/>
      <c r="C1" s="1514"/>
      <c r="D1" s="1497"/>
      <c r="E1" s="1498" t="s">
        <v>1107</v>
      </c>
      <c r="F1" s="1174">
        <f ca="1">J53</f>
        <v>0</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1310</v>
      </c>
      <c r="B2" s="1521" t="e">
        <f ca="1">ROUND(D2/10000,0)</f>
        <v>#DIV/0!</v>
      </c>
      <c r="C2" s="1522" t="s">
        <v>1311</v>
      </c>
      <c r="D2" s="1606" t="e">
        <f ca="1">C40+J29+L46</f>
        <v>#DIV/0!</v>
      </c>
      <c r="E2" s="1523" t="s">
        <v>1312</v>
      </c>
      <c r="F2" s="1524"/>
      <c r="G2" s="2882"/>
      <c r="H2" s="2871"/>
      <c r="I2" s="2871"/>
      <c r="J2" s="2871"/>
      <c r="K2" s="2872"/>
      <c r="L2" s="2871"/>
      <c r="M2" s="2871"/>
    </row>
    <row r="3" spans="1:37" ht="18" customHeight="1" thickBot="1">
      <c r="A3" s="1525" t="s">
        <v>1313</v>
      </c>
      <c r="B3" s="1526">
        <f ca="1">IF(ISERROR(D2/F43),0,ROUND(D2/F43,0))</f>
        <v>0</v>
      </c>
      <c r="C3" s="1522" t="s">
        <v>1314</v>
      </c>
      <c r="D3" s="1522"/>
      <c r="E3" s="1523"/>
      <c r="F3" s="1524"/>
      <c r="G3" s="2882"/>
      <c r="H3" s="692" t="s">
        <v>1308</v>
      </c>
      <c r="I3" s="1517"/>
      <c r="J3" s="1517"/>
      <c r="K3" s="1518"/>
      <c r="L3" s="1517"/>
      <c r="M3" s="1517"/>
    </row>
    <row r="4" spans="1:37" ht="18" customHeight="1">
      <c r="A4" s="301" t="s">
        <v>1315</v>
      </c>
      <c r="B4" s="302" t="s">
        <v>1316</v>
      </c>
      <c r="C4" s="302" t="s">
        <v>1317</v>
      </c>
      <c r="D4" s="302" t="s">
        <v>1318</v>
      </c>
      <c r="E4" s="303" t="s">
        <v>1319</v>
      </c>
      <c r="F4" s="304"/>
      <c r="G4" s="1519"/>
      <c r="H4" s="301" t="s">
        <v>1315</v>
      </c>
      <c r="I4" s="302" t="s">
        <v>1316</v>
      </c>
      <c r="J4" s="302" t="s">
        <v>1317</v>
      </c>
      <c r="K4" s="302" t="s">
        <v>1318</v>
      </c>
      <c r="L4" s="303" t="s">
        <v>1319</v>
      </c>
      <c r="M4" s="304"/>
    </row>
    <row r="5" spans="1:37" ht="18" customHeight="1">
      <c r="A5" s="305">
        <v>1</v>
      </c>
      <c r="B5" s="306" t="s">
        <v>1320</v>
      </c>
      <c r="C5" s="1183">
        <f ca="1">C6+C10+C12</f>
        <v>0</v>
      </c>
      <c r="D5" s="1499" t="s">
        <v>1321</v>
      </c>
      <c r="E5" s="1184"/>
      <c r="F5" s="1185"/>
      <c r="G5" s="1519"/>
      <c r="H5" s="305">
        <v>1</v>
      </c>
      <c r="I5" s="306" t="s">
        <v>1320</v>
      </c>
      <c r="J5" s="1183">
        <f ca="1">J6+J10+J12</f>
        <v>0</v>
      </c>
      <c r="K5" s="1499" t="s">
        <v>1321</v>
      </c>
      <c r="L5" s="1184"/>
      <c r="M5" s="1185"/>
    </row>
    <row r="6" spans="1:37" ht="18" customHeight="1">
      <c r="A6" s="1182" t="s">
        <v>822</v>
      </c>
      <c r="B6" s="3468" t="s">
        <v>1123</v>
      </c>
      <c r="C6" s="1187">
        <f ca="1">ROUND(F6*F8*F7*(1-F9),0)</f>
        <v>0</v>
      </c>
      <c r="D6" s="160" t="s">
        <v>2601</v>
      </c>
      <c r="E6" s="308" t="s">
        <v>1125</v>
      </c>
      <c r="F6" s="309">
        <f ca="1">INDIRECT("'数据-取费表'!u"&amp;$G$1)</f>
        <v>0</v>
      </c>
      <c r="G6" s="1519"/>
      <c r="H6" s="1182" t="s">
        <v>822</v>
      </c>
      <c r="I6" s="3468" t="s">
        <v>1123</v>
      </c>
      <c r="J6" s="307">
        <f ca="1">ROUND(M6*M8*M7*(1-M9),0)</f>
        <v>0</v>
      </c>
      <c r="K6" s="1511" t="s">
        <v>2602</v>
      </c>
      <c r="L6" s="308" t="s">
        <v>1125</v>
      </c>
      <c r="M6" s="309">
        <f ca="1">INDIRECT("'数据-取费表'!z"&amp;$G$1)</f>
        <v>0</v>
      </c>
    </row>
    <row r="7" spans="1:37" ht="18" customHeight="1">
      <c r="A7" s="1186"/>
      <c r="B7" s="3469"/>
      <c r="C7" s="1188"/>
      <c r="D7" s="313"/>
      <c r="E7" s="1189" t="s">
        <v>1126</v>
      </c>
      <c r="F7" s="309">
        <f ca="1">IF(INDIRECT("'数据-取费表'!ah"&amp;$G$1)="",INDIRECT("'数据-取费表'!k"&amp;$G$1),INDIRECT("'数据-取费表'!ah"&amp;$G$1))</f>
        <v>0</v>
      </c>
      <c r="G7" s="1519"/>
      <c r="H7" s="310"/>
      <c r="I7" s="3469"/>
      <c r="J7" s="312"/>
      <c r="K7" s="313"/>
      <c r="L7" s="308" t="s">
        <v>1126</v>
      </c>
      <c r="M7" s="309">
        <f ca="1">F7</f>
        <v>0</v>
      </c>
    </row>
    <row r="8" spans="1:37" ht="18" customHeight="1">
      <c r="A8" s="310"/>
      <c r="B8" s="3469"/>
      <c r="C8" s="312"/>
      <c r="D8" s="313"/>
      <c r="E8" s="308" t="s">
        <v>1127</v>
      </c>
      <c r="F8" s="309">
        <f ca="1">INDIRECT("'数据-取费表'!ai"&amp;$G$1)</f>
        <v>0</v>
      </c>
      <c r="G8" s="1519"/>
      <c r="H8" s="310"/>
      <c r="I8" s="3469"/>
      <c r="J8" s="312"/>
      <c r="K8" s="313"/>
      <c r="L8" s="308" t="s">
        <v>1127</v>
      </c>
      <c r="M8" s="309">
        <f ca="1">INDIRECT("'数据-取费表'!ai"&amp;$G$1)</f>
        <v>0</v>
      </c>
    </row>
    <row r="9" spans="1:37" ht="18" customHeight="1">
      <c r="A9" s="310"/>
      <c r="B9" s="3470"/>
      <c r="C9" s="312"/>
      <c r="D9" s="313"/>
      <c r="E9" s="308" t="s">
        <v>1128</v>
      </c>
      <c r="F9" s="318">
        <f ca="1">INDIRECT("'数据-取费表'!w"&amp;$G$1)</f>
        <v>0</v>
      </c>
      <c r="G9" s="1519"/>
      <c r="H9" s="310"/>
      <c r="I9" s="3470"/>
      <c r="J9" s="312"/>
      <c r="K9" s="313"/>
      <c r="L9" s="319" t="s">
        <v>1128</v>
      </c>
      <c r="M9" s="320">
        <f ca="1">INDIRECT("'数据-取费表'!ab"&amp;$G$1)</f>
        <v>0</v>
      </c>
    </row>
    <row r="10" spans="1:37" ht="18" customHeight="1">
      <c r="A10" s="1182" t="s">
        <v>826</v>
      </c>
      <c r="B10" s="1500" t="s">
        <v>1129</v>
      </c>
      <c r="C10" s="322">
        <f ca="1">ROUND(IF(F10="押一",C6/12*F11,IF(F10="押二",C6/12*2*F11,IF(F10="押三",C6/12*3*F11,C11*F11))),0)</f>
        <v>0</v>
      </c>
      <c r="D10" s="1501" t="s">
        <v>2611</v>
      </c>
      <c r="E10" s="319" t="s">
        <v>1130</v>
      </c>
      <c r="F10" s="1229"/>
      <c r="G10" s="1519"/>
      <c r="H10" s="1182" t="s">
        <v>826</v>
      </c>
      <c r="I10" s="1500" t="s">
        <v>1129</v>
      </c>
      <c r="J10" s="307">
        <f ca="1">ROUND(IF(M10="押一",J6/12*M11,IF(M10="押二",J6/12*2*M11,IF(M10="押三",J6/12*3*M11,J11*M11))),0)</f>
        <v>0</v>
      </c>
      <c r="K10" s="1512" t="s">
        <v>2613</v>
      </c>
      <c r="L10" s="319" t="s">
        <v>1130</v>
      </c>
      <c r="M10" s="1229"/>
    </row>
    <row r="11" spans="1:37" ht="18" customHeight="1">
      <c r="A11" s="314"/>
      <c r="B11" s="1502" t="s">
        <v>1322</v>
      </c>
      <c r="C11" s="1071"/>
      <c r="D11" s="313"/>
      <c r="E11" s="319" t="s">
        <v>1132</v>
      </c>
      <c r="F11" s="320">
        <f ca="1">'数据-取费表'!B39</f>
        <v>1.4999999999999999E-2</v>
      </c>
      <c r="G11" s="1519"/>
      <c r="H11" s="1190"/>
      <c r="I11" s="1502" t="s">
        <v>1323</v>
      </c>
      <c r="J11" s="1071"/>
      <c r="K11" s="693"/>
      <c r="L11" s="319" t="s">
        <v>1132</v>
      </c>
      <c r="M11" s="952">
        <f ca="1">'数据-取费表'!B39</f>
        <v>1.4999999999999999E-2</v>
      </c>
    </row>
    <row r="12" spans="1:37" ht="18" customHeight="1" thickBot="1">
      <c r="A12" s="1196" t="s">
        <v>862</v>
      </c>
      <c r="B12" s="1504" t="s">
        <v>1133</v>
      </c>
      <c r="C12" s="1197"/>
      <c r="D12" s="1198"/>
      <c r="E12" s="1203"/>
      <c r="F12" s="1199"/>
      <c r="G12" s="1519"/>
      <c r="H12" s="1196" t="s">
        <v>862</v>
      </c>
      <c r="I12" s="1504" t="s">
        <v>1133</v>
      </c>
      <c r="J12" s="1197"/>
      <c r="K12" s="1211"/>
      <c r="L12" s="1203"/>
      <c r="M12" s="1212"/>
    </row>
    <row r="13" spans="1:37" ht="18" customHeight="1" thickTop="1">
      <c r="A13" s="1192">
        <v>2</v>
      </c>
      <c r="B13" s="1193" t="s">
        <v>1134</v>
      </c>
      <c r="C13" s="316">
        <f ca="1">ROUND(C29*F13,0)</f>
        <v>0</v>
      </c>
      <c r="D13" s="1194" t="s">
        <v>1135</v>
      </c>
      <c r="E13" s="1194" t="s">
        <v>1136</v>
      </c>
      <c r="F13" s="1195">
        <f ca="1">INDIRECT("'数据-取费表'!y"&amp;$G$1)</f>
        <v>0</v>
      </c>
      <c r="G13" s="1519"/>
      <c r="H13" s="1192">
        <v>2</v>
      </c>
      <c r="I13" s="1193" t="s">
        <v>1134</v>
      </c>
      <c r="J13" s="1181">
        <f ca="1">ROUND(J14*J15,0)</f>
        <v>0</v>
      </c>
      <c r="K13" s="1200" t="s">
        <v>1135</v>
      </c>
      <c r="L13" s="1527"/>
      <c r="M13" s="1528"/>
    </row>
    <row r="14" spans="1:37" ht="18" customHeight="1">
      <c r="A14" s="1094" t="s">
        <v>821</v>
      </c>
      <c r="B14" s="308" t="s">
        <v>1137</v>
      </c>
      <c r="C14" s="324">
        <f ca="1">ROUND(INDIRECT("'数据-取费表'!l"&amp;$G$1)*F43+'数据-取费表'!L14*INDIRECT("'数据-取费表'!S"&amp;$G$1),0)</f>
        <v>0</v>
      </c>
      <c r="D14" s="1480" t="s">
        <v>1138</v>
      </c>
      <c r="E14" s="1477"/>
      <c r="F14" s="325"/>
      <c r="G14" s="1519"/>
      <c r="H14" s="1094" t="s">
        <v>822</v>
      </c>
      <c r="I14" s="308" t="s">
        <v>1139</v>
      </c>
      <c r="J14" s="24">
        <f ca="1">C29</f>
        <v>0</v>
      </c>
      <c r="K14" s="15"/>
      <c r="L14" s="897"/>
      <c r="M14" s="898"/>
    </row>
    <row r="15" spans="1:37" s="1532" customFormat="1" ht="18" customHeight="1" thickBot="1">
      <c r="A15" s="1094" t="s">
        <v>823</v>
      </c>
      <c r="B15" s="308" t="s">
        <v>1140</v>
      </c>
      <c r="C15" s="24">
        <f ca="1">ROUND(C14*F15,0)</f>
        <v>0</v>
      </c>
      <c r="D15" s="326" t="s">
        <v>1141</v>
      </c>
      <c r="E15" s="326" t="s">
        <v>1142</v>
      </c>
      <c r="F15" s="327">
        <f>'数据-取费表'!B33</f>
        <v>0.05</v>
      </c>
      <c r="G15" s="1531"/>
      <c r="H15" s="1202" t="s">
        <v>826</v>
      </c>
      <c r="I15" s="1203" t="s">
        <v>1136</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1109</v>
      </c>
      <c r="B16" s="308" t="s">
        <v>1143</v>
      </c>
      <c r="C16" s="24">
        <f ca="1">ROUND(INDIRECT("'数据-取费表'!l"&amp;$G$1)*F43*F16,0)</f>
        <v>0</v>
      </c>
      <c r="D16" s="308" t="s">
        <v>1141</v>
      </c>
      <c r="E16" s="308" t="s">
        <v>1142</v>
      </c>
      <c r="F16" s="328">
        <f ca="1">IF(INDIRECT("'数据-取费表'!c"&amp;$G$1)="住宅",'数据-取费表'!B34,0)</f>
        <v>0</v>
      </c>
      <c r="G16" s="1519"/>
      <c r="H16" s="1192" t="s">
        <v>817</v>
      </c>
      <c r="I16" s="1193" t="s">
        <v>1144</v>
      </c>
      <c r="J16" s="316">
        <f ca="1">ROUND(J17+J22+J23+J24,0)</f>
        <v>0</v>
      </c>
      <c r="K16" s="1200" t="s">
        <v>1145</v>
      </c>
      <c r="L16" s="1201"/>
      <c r="M16" s="1185"/>
    </row>
    <row r="17" spans="1:37" s="1532" customFormat="1" ht="18" customHeight="1">
      <c r="A17" s="1094" t="s">
        <v>1110</v>
      </c>
      <c r="B17" s="308" t="s">
        <v>1146</v>
      </c>
      <c r="C17" s="24">
        <f ca="1">ROUND(F17*(F43+INDIRECT("'数据-取费表'!S"&amp;$G$1)),0)</f>
        <v>0</v>
      </c>
      <c r="D17" s="308" t="s">
        <v>1147</v>
      </c>
      <c r="E17" s="308" t="s">
        <v>1148</v>
      </c>
      <c r="F17" s="26">
        <f>'数据-取费表'!B35</f>
        <v>200</v>
      </c>
      <c r="G17" s="1531"/>
      <c r="H17" s="1094" t="s">
        <v>822</v>
      </c>
      <c r="I17" s="308" t="s">
        <v>1149</v>
      </c>
      <c r="J17" s="2484">
        <f ca="1">ROUND(IF(AND(项目基本情况!B11="自然人",项目基本情况!B10="北京市"),J6*M17/(1+'数据-取费表'!C42),J18+J19+J20),0)</f>
        <v>0</v>
      </c>
      <c r="K17" s="1480" t="s">
        <v>1150</v>
      </c>
      <c r="L17" s="1479" t="s">
        <v>1151</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1111</v>
      </c>
      <c r="B18" s="308" t="s">
        <v>1152</v>
      </c>
      <c r="C18" s="24">
        <f ca="1">ROUND(C14*F18,0)</f>
        <v>0</v>
      </c>
      <c r="D18" s="308" t="s">
        <v>1141</v>
      </c>
      <c r="E18" s="308" t="s">
        <v>1142</v>
      </c>
      <c r="F18" s="328">
        <f>'数据-取费表'!B36</f>
        <v>1.4999999999999999E-2</v>
      </c>
      <c r="G18" s="1531"/>
      <c r="H18" s="1094" t="s">
        <v>821</v>
      </c>
      <c r="I18" s="308" t="s">
        <v>1153</v>
      </c>
      <c r="J18" s="24">
        <f ca="1">ROUND(J6*M18/(1+'数据-取费表'!C42),0)</f>
        <v>0</v>
      </c>
      <c r="K18" s="1479" t="s">
        <v>1154</v>
      </c>
      <c r="L18" s="308" t="s">
        <v>1142</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1155</v>
      </c>
      <c r="C19" s="24">
        <f ca="1">SUM(C14:C18)</f>
        <v>0</v>
      </c>
      <c r="D19" s="136" t="s">
        <v>1156</v>
      </c>
      <c r="E19" s="1495"/>
      <c r="F19" s="26"/>
      <c r="G19" s="1519"/>
      <c r="H19" s="1094" t="s">
        <v>823</v>
      </c>
      <c r="I19" s="308" t="s">
        <v>1157</v>
      </c>
      <c r="J19" s="24">
        <f ca="1">IF(K19="按租金收入计税",ROUND(J6*M19/(1+'数据-取费表'!C42),0),ROUND(C29*M19*0.7,0))</f>
        <v>0</v>
      </c>
      <c r="K19" s="1505" t="s">
        <v>1158</v>
      </c>
      <c r="L19" s="308" t="s">
        <v>1142</v>
      </c>
      <c r="M19" s="328">
        <f>IF(K19="按租金收入计税",'数据-取费表'!B51,'数据-取费表'!B50)</f>
        <v>1.2E-2</v>
      </c>
    </row>
    <row r="20" spans="1:37" s="1532" customFormat="1" ht="18" customHeight="1">
      <c r="A20" s="1094" t="s">
        <v>826</v>
      </c>
      <c r="B20" s="308" t="s">
        <v>1159</v>
      </c>
      <c r="C20" s="24">
        <f ca="1">ROUND(C19*F20,0)</f>
        <v>0</v>
      </c>
      <c r="D20" s="329" t="s">
        <v>1160</v>
      </c>
      <c r="E20" s="308" t="s">
        <v>1142</v>
      </c>
      <c r="F20" s="328">
        <f>'数据-取费表'!B37</f>
        <v>0.03</v>
      </c>
      <c r="G20" s="1531"/>
      <c r="H20" s="1094" t="s">
        <v>1109</v>
      </c>
      <c r="I20" s="160" t="s">
        <v>1161</v>
      </c>
      <c r="J20" s="25">
        <f ca="1">ROUND(M20*M21,0)</f>
        <v>0</v>
      </c>
      <c r="K20" s="330" t="s">
        <v>1162</v>
      </c>
      <c r="L20" s="308" t="s">
        <v>1163</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1164</v>
      </c>
      <c r="C21" s="24" t="s">
        <v>1</v>
      </c>
      <c r="D21" s="329" t="s">
        <v>1165</v>
      </c>
      <c r="E21" s="308" t="s">
        <v>1166</v>
      </c>
      <c r="F21" s="328">
        <f>'数据-取费表'!B38</f>
        <v>0.03</v>
      </c>
      <c r="G21" s="1531"/>
      <c r="H21" s="332"/>
      <c r="I21" s="317"/>
      <c r="J21" s="29"/>
      <c r="K21" s="333"/>
      <c r="L21" s="308" t="s">
        <v>1167</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1112</v>
      </c>
      <c r="B22" s="308" t="s">
        <v>1168</v>
      </c>
      <c r="C22" s="24"/>
      <c r="D22" s="136" t="str">
        <f>IF(F23&lt;=1,"单利计息。","复利计息。")&amp;"建造成本、管理费用、销售费用产生的利息。"</f>
        <v>复利计息。建造成本、管理费用、销售费用产生的利息。</v>
      </c>
      <c r="E22" s="1495"/>
      <c r="F22" s="26"/>
      <c r="G22" s="1519"/>
      <c r="H22" s="1094" t="s">
        <v>826</v>
      </c>
      <c r="I22" s="308" t="s">
        <v>1169</v>
      </c>
      <c r="J22" s="24">
        <f ca="1">ROUND(J14*M22,0)</f>
        <v>0</v>
      </c>
      <c r="K22" s="1479" t="s">
        <v>1170</v>
      </c>
      <c r="L22" s="308" t="s">
        <v>1142</v>
      </c>
      <c r="M22" s="334">
        <f ca="1">INDIRECT("'数据-取费表'!Ak"&amp;$G$1)</f>
        <v>0</v>
      </c>
    </row>
    <row r="23" spans="1:37" s="1532" customFormat="1" ht="18" customHeight="1">
      <c r="A23" s="1094" t="s">
        <v>821</v>
      </c>
      <c r="B23" s="308" t="s">
        <v>1171</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1172</v>
      </c>
      <c r="F23" s="331">
        <f>'数据-取费表'!B20</f>
        <v>3</v>
      </c>
      <c r="G23" s="1531"/>
      <c r="H23" s="1094" t="s">
        <v>862</v>
      </c>
      <c r="I23" s="308" t="s">
        <v>1173</v>
      </c>
      <c r="J23" s="24">
        <f ca="1">ROUND(J13*M23,0)</f>
        <v>0</v>
      </c>
      <c r="K23" s="1479" t="s">
        <v>1174</v>
      </c>
      <c r="L23" s="308" t="s">
        <v>1175</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1176</v>
      </c>
      <c r="B24" s="308" t="s">
        <v>1177</v>
      </c>
      <c r="C24" s="24">
        <f ca="1">ROUND(IF('数据-取费表'!B22&lt;=1,F21*F24*F23/2,F21*(POWER((1+F24),F23/2)-1)),4)</f>
        <v>1.9E-3</v>
      </c>
      <c r="D24" s="335" t="str">
        <f>IF(F23&lt;=1,"销售费用×利率×(建设周期÷2)","销售费用×((1+利率)^(建设周期÷2)-1)")</f>
        <v>销售费用×((1+利率)^(建设周期÷2)-1)</v>
      </c>
      <c r="E24" s="308" t="s">
        <v>1178</v>
      </c>
      <c r="F24" s="337">
        <f ca="1">'数据-取费表'!B40</f>
        <v>4.2000000000000003E-2</v>
      </c>
      <c r="G24" s="1531"/>
      <c r="H24" s="1202" t="s">
        <v>1113</v>
      </c>
      <c r="I24" s="1203" t="s">
        <v>1159</v>
      </c>
      <c r="J24" s="1204">
        <f ca="1">ROUND(J5*M24,0)</f>
        <v>0</v>
      </c>
      <c r="K24" s="1205" t="s">
        <v>1179</v>
      </c>
      <c r="L24" s="1203" t="s">
        <v>1175</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1180</v>
      </c>
      <c r="B25" s="308" t="s">
        <v>1181</v>
      </c>
      <c r="C25" s="24"/>
      <c r="D25" s="136" t="s">
        <v>1182</v>
      </c>
      <c r="E25" s="1495"/>
      <c r="F25" s="26"/>
      <c r="G25" s="1519"/>
      <c r="H25" s="1192" t="s">
        <v>818</v>
      </c>
      <c r="I25" s="1207" t="s">
        <v>1183</v>
      </c>
      <c r="J25" s="316">
        <f ca="1">J5-J16</f>
        <v>0</v>
      </c>
      <c r="K25" s="1208" t="s">
        <v>1184</v>
      </c>
      <c r="L25" s="1209"/>
      <c r="M25" s="1210"/>
    </row>
    <row r="26" spans="1:37" ht="18" customHeight="1">
      <c r="A26" s="1094" t="s">
        <v>821</v>
      </c>
      <c r="B26" s="308" t="s">
        <v>1185</v>
      </c>
      <c r="C26" s="24">
        <f ca="1">ROUND((C19+C20)*F26,0)</f>
        <v>0</v>
      </c>
      <c r="D26" s="329" t="s">
        <v>1186</v>
      </c>
      <c r="E26" s="319" t="s">
        <v>1187</v>
      </c>
      <c r="F26" s="318">
        <f ca="1">INDIRECT("'数据-取费表'!q"&amp;$G$1)</f>
        <v>0</v>
      </c>
      <c r="G26" s="1519"/>
      <c r="H26" s="305" t="s">
        <v>819</v>
      </c>
      <c r="I26" s="306" t="s">
        <v>1188</v>
      </c>
      <c r="J26" s="307">
        <f ca="1">IF(J5&lt;&gt;0,ROUND(J25*(1-((1+M28)/(1+M26))^M27)/(M26-M28),0),0)</f>
        <v>0</v>
      </c>
      <c r="K26" s="330" t="s">
        <v>1189</v>
      </c>
      <c r="L26" s="308" t="s">
        <v>1190</v>
      </c>
      <c r="M26" s="318">
        <f ca="1">INDIRECT("'数据-取费表'!I"&amp;$G$1)</f>
        <v>0</v>
      </c>
    </row>
    <row r="27" spans="1:37" ht="18" customHeight="1">
      <c r="A27" s="1094" t="s">
        <v>823</v>
      </c>
      <c r="B27" s="308" t="s">
        <v>1191</v>
      </c>
      <c r="C27" s="24">
        <f ca="1">ROUND(F21*F26,4)</f>
        <v>0</v>
      </c>
      <c r="D27" s="329" t="s">
        <v>1192</v>
      </c>
      <c r="E27" s="326"/>
      <c r="F27" s="327"/>
      <c r="G27" s="1519"/>
      <c r="H27" s="310"/>
      <c r="I27" s="311"/>
      <c r="J27" s="312"/>
      <c r="K27" s="338" t="s">
        <v>1193</v>
      </c>
      <c r="L27" s="308" t="s">
        <v>1194</v>
      </c>
      <c r="M27" s="339">
        <f ca="1">INDIRECT("'数据-取费表'!ag"&amp;$G$1)</f>
        <v>0</v>
      </c>
    </row>
    <row r="28" spans="1:37" s="1532" customFormat="1" ht="18" customHeight="1">
      <c r="A28" s="1094" t="s">
        <v>824</v>
      </c>
      <c r="B28" s="308" t="s">
        <v>1195</v>
      </c>
      <c r="C28" s="24">
        <f>ROUND(F28/(1+'数据-取费表'!C42),4)</f>
        <v>5.33E-2</v>
      </c>
      <c r="D28" s="329" t="s">
        <v>1196</v>
      </c>
      <c r="E28" s="308" t="s">
        <v>1142</v>
      </c>
      <c r="F28" s="328">
        <f>'数据-取费表'!B41</f>
        <v>5.6000000000000001E-2</v>
      </c>
      <c r="G28" s="1531"/>
      <c r="H28" s="314"/>
      <c r="I28" s="315"/>
      <c r="J28" s="316"/>
      <c r="K28" s="333"/>
      <c r="L28" s="308" t="s">
        <v>1197</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1198</v>
      </c>
      <c r="C29" s="1204">
        <f ca="1">ROUND((C19+C20+C23+C26)/(1-F21-C24-C27-C28),0)</f>
        <v>0</v>
      </c>
      <c r="D29" s="1205"/>
      <c r="E29" s="1203"/>
      <c r="F29" s="1206"/>
      <c r="G29" s="1531"/>
      <c r="H29" s="340" t="s">
        <v>820</v>
      </c>
      <c r="I29" s="341" t="s">
        <v>1199</v>
      </c>
      <c r="J29" s="342">
        <f ca="1">ROUND(J26/(1+F40)^F41,0)</f>
        <v>0</v>
      </c>
      <c r="K29" s="343" t="s">
        <v>1200</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1144</v>
      </c>
      <c r="C30" s="316">
        <f ca="1">ROUND(C31+C36+C37+C38,0)</f>
        <v>0</v>
      </c>
      <c r="D30" s="1200" t="s">
        <v>1145</v>
      </c>
      <c r="E30" s="1201"/>
      <c r="F30" s="1185"/>
      <c r="G30" s="1519"/>
      <c r="H30" s="2873"/>
      <c r="I30" s="1533"/>
      <c r="J30" s="1534"/>
      <c r="K30" s="2649"/>
      <c r="L30" s="2874"/>
      <c r="M30" s="2875"/>
    </row>
    <row r="31" spans="1:37" ht="18" customHeight="1">
      <c r="A31" s="1094" t="s">
        <v>822</v>
      </c>
      <c r="B31" s="308" t="s">
        <v>1149</v>
      </c>
      <c r="C31" s="2484">
        <f ca="1">ROUND(IF(AND(项目基本情况!B11="自然人",项目基本情况!B10="北京市"),C6*F31/(1+'数据-取费表'!C42),C32+C33+C34),0)</f>
        <v>0</v>
      </c>
      <c r="D31" s="1480" t="s">
        <v>1150</v>
      </c>
      <c r="E31" s="1479" t="s">
        <v>1201</v>
      </c>
      <c r="F31" s="2483" t="str">
        <f>IF(项目基本情况!B11="企业","——",IF('数据-取费表'!B10="住宅",IF(F6*F7*F8/12/(1+'数据-取费表'!F30)&gt;100000,4%,2.5%),IF(F6*F7*F8/12/(1+'数据-取费表'!F30)&gt;100000,12%,7%)))</f>
        <v>——</v>
      </c>
      <c r="G31" s="1519"/>
      <c r="H31" s="2986" t="s">
        <v>2796</v>
      </c>
      <c r="I31" s="1533"/>
      <c r="J31" s="1534"/>
      <c r="K31" s="2649"/>
      <c r="L31" s="2874"/>
      <c r="M31" s="2875"/>
    </row>
    <row r="32" spans="1:37" ht="18" customHeight="1">
      <c r="A32" s="1094" t="s">
        <v>821</v>
      </c>
      <c r="B32" s="308" t="s">
        <v>1153</v>
      </c>
      <c r="C32" s="24">
        <f ca="1">IF(项目基本情况!B11="自然人","——",ROUND(C6*F32/(1+'数据-取费表'!C42),0))</f>
        <v>0</v>
      </c>
      <c r="D32" s="1479" t="s">
        <v>1154</v>
      </c>
      <c r="E32" s="308" t="s">
        <v>1142</v>
      </c>
      <c r="F32" s="337">
        <f>'数据-取费表'!B41</f>
        <v>5.6000000000000001E-2</v>
      </c>
      <c r="G32" s="1519"/>
      <c r="H32" s="2873"/>
      <c r="I32" s="1533"/>
      <c r="J32" s="1534"/>
      <c r="K32" s="2649"/>
      <c r="L32" s="2874"/>
      <c r="M32" s="2875"/>
    </row>
    <row r="33" spans="1:18" ht="18" customHeight="1">
      <c r="A33" s="1094" t="s">
        <v>823</v>
      </c>
      <c r="B33" s="308" t="s">
        <v>1157</v>
      </c>
      <c r="C33" s="24">
        <f ca="1">IF(项目基本情况!B11="自然人","——",IF(D33="按租金收入计税",ROUND(C6*F33/(1+'数据-取费表'!C42),0),IF(D33="按房产原值计税",ROUND(C29*F33*0.7,0),INDIRECT("'数据-取费表'!Aj"&amp;$G$1))))</f>
        <v>0</v>
      </c>
      <c r="D33" s="1505" t="s">
        <v>1158</v>
      </c>
      <c r="E33" s="308" t="s">
        <v>1142</v>
      </c>
      <c r="F33" s="328">
        <f>IF(D33="按票据","——",IF(D33="按租金收入计税",'数据-取费表'!B51,'数据-取费表'!B50))</f>
        <v>1.2E-2</v>
      </c>
      <c r="G33" s="1519"/>
      <c r="H33" s="2876"/>
      <c r="I33" s="1533"/>
      <c r="J33" s="1534"/>
      <c r="K33" s="2877"/>
      <c r="L33" s="2876"/>
      <c r="M33" s="2876"/>
    </row>
    <row r="34" spans="1:18" ht="18" customHeight="1">
      <c r="A34" s="1182" t="s">
        <v>1109</v>
      </c>
      <c r="B34" s="160" t="s">
        <v>1161</v>
      </c>
      <c r="C34" s="25">
        <f ca="1">IF(项目基本情况!B11="自然人","——",ROUND(F34*F35,))</f>
        <v>0</v>
      </c>
      <c r="D34" s="330" t="s">
        <v>1162</v>
      </c>
      <c r="E34" s="308" t="s">
        <v>1163</v>
      </c>
      <c r="F34" s="331">
        <f>'数据-取费表'!B52</f>
        <v>30</v>
      </c>
      <c r="G34" s="1519"/>
      <c r="H34" s="2873"/>
      <c r="I34" s="1533"/>
      <c r="J34" s="1534"/>
      <c r="K34" s="2878"/>
      <c r="L34" s="2879"/>
      <c r="M34" s="2879"/>
    </row>
    <row r="35" spans="1:18" ht="18" customHeight="1">
      <c r="A35" s="1216"/>
      <c r="B35" s="1214"/>
      <c r="C35" s="29"/>
      <c r="D35" s="333"/>
      <c r="E35" s="308" t="s">
        <v>1167</v>
      </c>
      <c r="F35" s="309">
        <f ca="1">INDIRECT("'数据-取费表'!r"&amp;$G$1)</f>
        <v>0</v>
      </c>
      <c r="G35" s="1519"/>
      <c r="H35" s="2873"/>
      <c r="I35" s="1533"/>
      <c r="J35" s="1534"/>
      <c r="K35" s="2877"/>
      <c r="L35" s="2876"/>
      <c r="M35" s="2876"/>
    </row>
    <row r="36" spans="1:18" ht="18" customHeight="1">
      <c r="A36" s="1215" t="s">
        <v>826</v>
      </c>
      <c r="B36" s="308" t="s">
        <v>1169</v>
      </c>
      <c r="C36" s="24">
        <f ca="1">ROUND(C29*F36,0)</f>
        <v>0</v>
      </c>
      <c r="D36" s="1479" t="s">
        <v>1202</v>
      </c>
      <c r="E36" s="308" t="s">
        <v>1142</v>
      </c>
      <c r="F36" s="334">
        <f ca="1">INDIRECT("'数据-取费表'!Ak"&amp;$G$1)</f>
        <v>0</v>
      </c>
      <c r="G36" s="1519"/>
      <c r="H36" s="2876"/>
      <c r="I36" s="1533"/>
      <c r="J36" s="1534"/>
      <c r="K36" s="2717"/>
      <c r="L36" s="2876"/>
      <c r="M36" s="2876"/>
    </row>
    <row r="37" spans="1:18" ht="18" customHeight="1">
      <c r="A37" s="1094" t="s">
        <v>862</v>
      </c>
      <c r="B37" s="308" t="s">
        <v>1173</v>
      </c>
      <c r="C37" s="24">
        <f ca="1">ROUND(C13*F37,0)</f>
        <v>0</v>
      </c>
      <c r="D37" s="1479" t="s">
        <v>1174</v>
      </c>
      <c r="E37" s="308" t="s">
        <v>1175</v>
      </c>
      <c r="F37" s="336">
        <f ca="1">INDIRECT("'数据-取费表'!Al"&amp;$G$1)</f>
        <v>0</v>
      </c>
      <c r="G37" s="1519"/>
      <c r="H37" s="2876"/>
      <c r="I37" s="1533"/>
      <c r="J37" s="1534"/>
      <c r="K37" s="2717"/>
      <c r="L37" s="2876"/>
      <c r="M37" s="2876"/>
    </row>
    <row r="38" spans="1:18" ht="18" customHeight="1" thickBot="1">
      <c r="A38" s="1202" t="s">
        <v>1113</v>
      </c>
      <c r="B38" s="1203" t="s">
        <v>1159</v>
      </c>
      <c r="C38" s="1204">
        <f ca="1">ROUND(C5*F38,1)</f>
        <v>0</v>
      </c>
      <c r="D38" s="1205" t="s">
        <v>1179</v>
      </c>
      <c r="E38" s="1203" t="s">
        <v>1175</v>
      </c>
      <c r="F38" s="1199">
        <f ca="1">INDIRECT("'数据-取费表'!Am"&amp;$G$1)</f>
        <v>0</v>
      </c>
      <c r="G38" s="1519"/>
      <c r="H38" s="2876"/>
      <c r="I38" s="1533"/>
      <c r="J38" s="1534"/>
      <c r="K38" s="2880"/>
      <c r="L38" s="2876"/>
      <c r="M38" s="2876"/>
    </row>
    <row r="39" spans="1:18" ht="24.6" customHeight="1" thickTop="1">
      <c r="A39" s="1192" t="s">
        <v>818</v>
      </c>
      <c r="B39" s="1207" t="s">
        <v>1203</v>
      </c>
      <c r="C39" s="316">
        <f ca="1">C5-C30</f>
        <v>0</v>
      </c>
      <c r="D39" s="1208" t="s">
        <v>1204</v>
      </c>
      <c r="E39" s="1209"/>
      <c r="F39" s="1210"/>
      <c r="G39" s="1519"/>
      <c r="H39" s="2876"/>
      <c r="I39" s="1533"/>
      <c r="J39" s="1534"/>
      <c r="K39" s="2880"/>
      <c r="L39" s="2876"/>
      <c r="M39" s="2876"/>
    </row>
    <row r="40" spans="1:18" ht="18" customHeight="1">
      <c r="A40" s="305" t="s">
        <v>819</v>
      </c>
      <c r="B40" s="306" t="s">
        <v>1205</v>
      </c>
      <c r="C40" s="307" t="e">
        <f ca="1">ROUND(C39*(1-((1+F42)/(1+F40))^F41)/(F40-F42),0)</f>
        <v>#DIV/0!</v>
      </c>
      <c r="D40" s="330" t="s">
        <v>1189</v>
      </c>
      <c r="E40" s="308" t="s">
        <v>1190</v>
      </c>
      <c r="F40" s="318">
        <f ca="1">INDIRECT("'数据-取费表'!I"&amp;$G$1)</f>
        <v>0</v>
      </c>
      <c r="G40" s="1519"/>
      <c r="H40" s="1596"/>
      <c r="I40" s="1533"/>
      <c r="J40" s="1534"/>
      <c r="K40" s="2880"/>
      <c r="L40" s="1596"/>
      <c r="M40" s="1596"/>
    </row>
    <row r="41" spans="1:18" ht="18" customHeight="1">
      <c r="A41" s="310"/>
      <c r="B41" s="311"/>
      <c r="C41" s="312"/>
      <c r="D41" s="338" t="s">
        <v>1206</v>
      </c>
      <c r="E41" s="308" t="s">
        <v>1194</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1197</v>
      </c>
      <c r="F42" s="318">
        <f ca="1">INDIRECT("'数据-取费表'!v"&amp;$G$1)</f>
        <v>0</v>
      </c>
      <c r="G42" s="1519"/>
      <c r="H42" s="1306"/>
      <c r="I42" s="1533"/>
      <c r="J42" s="1534"/>
      <c r="K42" s="2717"/>
      <c r="L42" s="1306"/>
      <c r="M42" s="1306"/>
    </row>
    <row r="43" spans="1:18" ht="18" customHeight="1" thickBot="1">
      <c r="A43" s="340" t="s">
        <v>820</v>
      </c>
      <c r="B43" s="341" t="s">
        <v>1207</v>
      </c>
      <c r="C43" s="342" t="e">
        <f ca="1">ROUND(C40/F43,0)</f>
        <v>#DIV/0!</v>
      </c>
      <c r="D43" s="343" t="s">
        <v>1208</v>
      </c>
      <c r="E43" s="344" t="s">
        <v>1209</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1324</v>
      </c>
      <c r="E45" s="1535"/>
      <c r="F45" s="1535"/>
      <c r="O45" s="1538" t="s">
        <v>1239</v>
      </c>
      <c r="P45" s="1596"/>
      <c r="Q45" s="1596"/>
      <c r="R45" s="1596"/>
    </row>
    <row r="46" spans="1:18" s="1519" customFormat="1" ht="13.5" thickBot="1">
      <c r="A46" s="1539" t="s">
        <v>1240</v>
      </c>
      <c r="C46" s="1540" t="e">
        <f ca="1">ROUND(C45/10000,0)</f>
        <v>#DIV/0!</v>
      </c>
      <c r="D46" s="1541" t="str">
        <f>C2</f>
        <v>万元</v>
      </c>
      <c r="I46" s="1542" t="s">
        <v>1241</v>
      </c>
      <c r="J46" s="1543"/>
      <c r="K46" s="1544"/>
      <c r="L46" s="1545" t="e">
        <f ca="1">IF(M47="住宅",0,IF(L48&gt;J51,L60,J60))</f>
        <v>#DIV/0!</v>
      </c>
      <c r="O46" s="1546" t="s">
        <v>1242</v>
      </c>
      <c r="P46" s="1547" t="s">
        <v>1243</v>
      </c>
      <c r="Q46" s="1548" t="s">
        <v>1244</v>
      </c>
      <c r="R46" s="1548" t="s">
        <v>1245</v>
      </c>
    </row>
    <row r="47" spans="1:18" s="1519" customFormat="1" ht="13.5" thickBot="1">
      <c r="A47" s="1058" t="s">
        <v>1116</v>
      </c>
      <c r="B47" s="1090" t="s">
        <v>1117</v>
      </c>
      <c r="C47" s="1090" t="s">
        <v>1118</v>
      </c>
      <c r="D47" s="1090" t="s">
        <v>1119</v>
      </c>
      <c r="E47" s="1170" t="s">
        <v>1120</v>
      </c>
      <c r="F47" s="1171"/>
      <c r="G47" s="731"/>
      <c r="I47" s="1549" t="s">
        <v>1246</v>
      </c>
      <c r="J47" s="1550"/>
      <c r="K47" s="1551" t="s">
        <v>1247</v>
      </c>
      <c r="L47" s="1552">
        <f ca="1">INDIRECT("'数据-取费表'!d"&amp;$G$1)</f>
        <v>0</v>
      </c>
      <c r="M47" s="1515" t="str">
        <f>IF(ISNUMBER(FIND("住宅",C1)),"住宅","非住宅")</f>
        <v>非住宅</v>
      </c>
      <c r="O47" s="1553" t="s">
        <v>827</v>
      </c>
      <c r="P47" s="1554" t="s">
        <v>1248</v>
      </c>
      <c r="Q47" s="1555" t="e">
        <f ca="1">C40+J29</f>
        <v>#DIV/0!</v>
      </c>
      <c r="R47" s="1555" t="s">
        <v>1249</v>
      </c>
    </row>
    <row r="48" spans="1:18" s="1519" customFormat="1" ht="28.5" thickBot="1">
      <c r="A48" s="1223" t="s">
        <v>863</v>
      </c>
      <c r="B48" s="306" t="s">
        <v>1121</v>
      </c>
      <c r="C48" s="1494">
        <f ca="1">C49+C53+C55</f>
        <v>0</v>
      </c>
      <c r="D48" s="1225"/>
      <c r="E48" s="1226"/>
      <c r="F48" s="1074"/>
      <c r="G48" s="731"/>
      <c r="H48" s="732"/>
      <c r="I48" s="1556" t="s">
        <v>1250</v>
      </c>
      <c r="J48" s="1557"/>
      <c r="K48" s="1558" t="s">
        <v>1251</v>
      </c>
      <c r="L48" s="1559">
        <f ca="1">INDIRECT("'数据-取费表'!f"&amp;$G$1)</f>
        <v>0</v>
      </c>
      <c r="O48" s="1553" t="s">
        <v>828</v>
      </c>
      <c r="P48" s="1554" t="s">
        <v>1252</v>
      </c>
      <c r="Q48" s="1555" t="e">
        <f ca="1">J60</f>
        <v>#DIV/0!</v>
      </c>
      <c r="R48" s="1555" t="s">
        <v>1253</v>
      </c>
    </row>
    <row r="49" spans="1:18" s="1519" customFormat="1" ht="13.5" thickBot="1">
      <c r="A49" s="1087" t="s">
        <v>864</v>
      </c>
      <c r="B49" s="1506" t="s">
        <v>1210</v>
      </c>
      <c r="C49" s="1227">
        <f ca="1">ROUND(F49*F51*F50*(1-F52),0)</f>
        <v>0</v>
      </c>
      <c r="D49" s="1167" t="s">
        <v>1124</v>
      </c>
      <c r="E49" s="1507" t="s">
        <v>1211</v>
      </c>
      <c r="F49" s="1172"/>
      <c r="G49" s="1560"/>
      <c r="H49" s="732"/>
      <c r="I49" s="1556" t="s">
        <v>1254</v>
      </c>
      <c r="J49" s="1561"/>
      <c r="K49" s="1558" t="s">
        <v>1255</v>
      </c>
      <c r="L49" s="1562"/>
      <c r="O49" s="1563" t="s">
        <v>829</v>
      </c>
      <c r="P49" s="1554" t="s">
        <v>1256</v>
      </c>
      <c r="Q49" s="1555">
        <f ca="1">C29</f>
        <v>0</v>
      </c>
      <c r="R49" s="1555" t="s">
        <v>1249</v>
      </c>
    </row>
    <row r="50" spans="1:18" s="1519" customFormat="1" ht="13.5" thickBot="1">
      <c r="A50" s="1088"/>
      <c r="B50" s="1091"/>
      <c r="C50" s="1092"/>
      <c r="D50" s="1065"/>
      <c r="E50" s="1168" t="s">
        <v>1126</v>
      </c>
      <c r="F50" s="1169">
        <f ca="1">F7</f>
        <v>0</v>
      </c>
      <c r="H50" s="732"/>
      <c r="I50" s="1556" t="s">
        <v>1257</v>
      </c>
      <c r="J50" s="1564">
        <f>SUMPRODUCT((I63:I65=J47)*(J62:L62=J48)*(J63:L65))</f>
        <v>0</v>
      </c>
      <c r="K50" s="1558" t="s">
        <v>1258</v>
      </c>
      <c r="L50" s="1562"/>
      <c r="M50" s="1565"/>
      <c r="O50" s="1563" t="s">
        <v>830</v>
      </c>
      <c r="P50" s="1554" t="s">
        <v>1259</v>
      </c>
      <c r="Q50" s="1566" t="e">
        <f ca="1">J58</f>
        <v>#DIV/0!</v>
      </c>
      <c r="R50" s="1555"/>
    </row>
    <row r="51" spans="1:18" s="1519" customFormat="1" ht="13.5" thickBot="1">
      <c r="A51" s="1089"/>
      <c r="B51" s="1091"/>
      <c r="C51" s="1092"/>
      <c r="D51" s="1065"/>
      <c r="E51" s="1093" t="s">
        <v>1127</v>
      </c>
      <c r="F51" s="309">
        <f ca="1">F8</f>
        <v>0</v>
      </c>
      <c r="I51" s="1567" t="s">
        <v>1260</v>
      </c>
      <c r="J51" s="1568">
        <f>IF(J49="",J50,J49+J50-YEAR('数据-取费表'!B2))</f>
        <v>0</v>
      </c>
      <c r="K51" s="1569" t="s">
        <v>1261</v>
      </c>
      <c r="L51" s="1570">
        <f ca="1">ROUND(-PV(INDIRECT("'数据-取费表'!h"&amp;$G$1),J51,(C39-C13*C76),0),0)</f>
        <v>0</v>
      </c>
      <c r="M51" s="1571"/>
      <c r="O51" s="1563" t="s">
        <v>831</v>
      </c>
      <c r="P51" s="1554" t="s">
        <v>1262</v>
      </c>
      <c r="Q51" s="1566">
        <f>J52</f>
        <v>0</v>
      </c>
      <c r="R51" s="1555"/>
    </row>
    <row r="52" spans="1:18" s="1519" customFormat="1" ht="13.5" thickBot="1">
      <c r="A52" s="1089"/>
      <c r="B52" s="1091"/>
      <c r="C52" s="1092"/>
      <c r="D52" s="1065"/>
      <c r="E52" s="1093" t="s">
        <v>1128</v>
      </c>
      <c r="F52" s="1166"/>
      <c r="I52" s="1572" t="s">
        <v>1263</v>
      </c>
      <c r="J52" s="1573"/>
      <c r="K52" s="1572" t="s">
        <v>1264</v>
      </c>
      <c r="L52" s="1573"/>
      <c r="O52" s="1563" t="s">
        <v>832</v>
      </c>
      <c r="P52" s="1554" t="s">
        <v>1265</v>
      </c>
      <c r="Q52" s="1555">
        <f ca="1">J53</f>
        <v>0</v>
      </c>
      <c r="R52" s="1555" t="s">
        <v>1266</v>
      </c>
    </row>
    <row r="53" spans="1:18" s="1519" customFormat="1" ht="30.75" customHeight="1" thickBot="1">
      <c r="A53" s="1224" t="s">
        <v>865</v>
      </c>
      <c r="B53" s="329" t="s">
        <v>1129</v>
      </c>
      <c r="C53" s="322">
        <f ca="1">ROUND(IF(F53="押一",C49/12*F11,IF(F53="押二",C49/12*2*F11,IF(F53="押三",C49/12*3*F11,C54*F11))),0)</f>
        <v>0</v>
      </c>
      <c r="D53" s="1501" t="s">
        <v>2614</v>
      </c>
      <c r="E53" s="319" t="s">
        <v>1130</v>
      </c>
      <c r="F53" s="1229"/>
      <c r="I53" s="1574" t="s">
        <v>1267</v>
      </c>
      <c r="J53" s="2336">
        <f ca="1">IF(M47="住宅",IF(D1="——",MAX(J51,L48),MAX(J51,L48-'数据-取费表'!B24)),IF(D1="——",MIN(J51,L48),MIN(J51,L48-'数据-取费表'!B24)))</f>
        <v>0</v>
      </c>
      <c r="K53" s="3466" t="s">
        <v>1268</v>
      </c>
      <c r="L53" s="3467"/>
      <c r="O53" s="1553" t="s">
        <v>833</v>
      </c>
      <c r="P53" s="1554" t="s">
        <v>1269</v>
      </c>
      <c r="Q53" s="1555" t="e">
        <f ca="1">Q47+Q48</f>
        <v>#DIV/0!</v>
      </c>
      <c r="R53" s="1555" t="s">
        <v>834</v>
      </c>
    </row>
    <row r="54" spans="1:18" s="1519" customFormat="1" ht="13.5" thickBot="1">
      <c r="A54" s="1087"/>
      <c r="B54" s="1609" t="s">
        <v>1323</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1270</v>
      </c>
      <c r="P54" s="1516"/>
      <c r="Q54" s="1516"/>
      <c r="R54" s="1516"/>
    </row>
    <row r="55" spans="1:18" s="1519" customFormat="1" ht="13.5" thickBot="1">
      <c r="A55" s="1196" t="s">
        <v>862</v>
      </c>
      <c r="B55" s="1504" t="s">
        <v>1133</v>
      </c>
      <c r="C55" s="1197"/>
      <c r="D55" s="1501"/>
      <c r="E55" s="1509"/>
      <c r="F55" s="1575"/>
      <c r="I55" s="1578" t="s">
        <v>1271</v>
      </c>
      <c r="J55" s="1579" t="e">
        <f ca="1">ROUND(IF(J47="钢混",J57/J50,1-(1-2%)*(J50-J57)/J50),3)</f>
        <v>#DIV/0!</v>
      </c>
      <c r="K55" s="1580" t="s">
        <v>1272</v>
      </c>
      <c r="L55" s="1581"/>
      <c r="O55" s="1546" t="s">
        <v>1242</v>
      </c>
      <c r="P55" s="1547" t="s">
        <v>1243</v>
      </c>
      <c r="Q55" s="1548" t="s">
        <v>1244</v>
      </c>
      <c r="R55" s="1548" t="s">
        <v>1245</v>
      </c>
    </row>
    <row r="56" spans="1:18" s="1519" customFormat="1" ht="36" customHeight="1" thickTop="1" thickBot="1">
      <c r="A56" s="1069">
        <v>2</v>
      </c>
      <c r="B56" s="1070" t="s">
        <v>1134</v>
      </c>
      <c r="C56" s="238">
        <f ca="1">C13</f>
        <v>0</v>
      </c>
      <c r="D56" s="1582"/>
      <c r="E56" s="1583"/>
      <c r="F56" s="1575"/>
      <c r="I56" s="1584" t="s">
        <v>1274</v>
      </c>
      <c r="J56" s="1585"/>
      <c r="K56" s="1556" t="s">
        <v>1275</v>
      </c>
      <c r="L56" s="1559">
        <f ca="1">IF(L48&lt;J51,"——",L48-J51)</f>
        <v>0</v>
      </c>
      <c r="O56" s="1553" t="s">
        <v>827</v>
      </c>
      <c r="P56" s="1554" t="s">
        <v>1248</v>
      </c>
      <c r="Q56" s="1555" t="e">
        <f ca="1">C40+J29</f>
        <v>#DIV/0!</v>
      </c>
      <c r="R56" s="1555" t="s">
        <v>1249</v>
      </c>
    </row>
    <row r="57" spans="1:18" s="1519" customFormat="1" ht="24.75" thickBot="1">
      <c r="A57" s="1586"/>
      <c r="B57" s="1062" t="s">
        <v>1198</v>
      </c>
      <c r="C57" s="244">
        <f ca="1">C29</f>
        <v>0</v>
      </c>
      <c r="D57" s="1587"/>
      <c r="E57" s="1588"/>
      <c r="F57" s="1589"/>
      <c r="I57" s="1590" t="s">
        <v>1276</v>
      </c>
      <c r="J57" s="1591">
        <f ca="1">IF(OR(M47="住宅",J51&lt;L48,J56="是"),"——",J51-L48)</f>
        <v>0</v>
      </c>
      <c r="K57" s="1556" t="s">
        <v>1325</v>
      </c>
      <c r="L57" s="1559">
        <f ca="1">IF(L48&lt;J51,"——",IF(L55="比较法",L49,IF(L55="基准地价",L50,L51)))</f>
        <v>0</v>
      </c>
      <c r="O57" s="1553" t="s">
        <v>828</v>
      </c>
      <c r="P57" s="1554" t="s">
        <v>1326</v>
      </c>
      <c r="Q57" s="1555" t="e">
        <f ca="1">L60</f>
        <v>#DIV/0!</v>
      </c>
      <c r="R57" s="1555" t="s">
        <v>1327</v>
      </c>
    </row>
    <row r="58" spans="1:18" s="1519" customFormat="1" ht="24.75" thickBot="1">
      <c r="A58" s="321" t="s">
        <v>817</v>
      </c>
      <c r="B58" s="1070" t="s">
        <v>1144</v>
      </c>
      <c r="C58" s="322">
        <f ca="1">ROUND(C59+C64+C65+C66,0)</f>
        <v>0</v>
      </c>
      <c r="D58" s="1072" t="s">
        <v>1145</v>
      </c>
      <c r="E58" s="1073"/>
      <c r="F58" s="1074"/>
      <c r="I58" s="1590" t="s">
        <v>1280</v>
      </c>
      <c r="J58" s="1592" t="e">
        <f ca="1">IF(J55&lt;0.4,0.4,J55)</f>
        <v>#DIV/0!</v>
      </c>
      <c r="K58" s="1569" t="s">
        <v>1328</v>
      </c>
      <c r="L58" s="1559" t="e">
        <f ca="1">ROUND(POWER(1+L52,L47-L48)*(POWER(1+L52,L48)-1)/(POWER(1+L52,L47)-1),4)</f>
        <v>#DIV/0!</v>
      </c>
      <c r="O58" s="1563" t="s">
        <v>829</v>
      </c>
      <c r="P58" s="1554" t="s">
        <v>1282</v>
      </c>
      <c r="Q58" s="1555">
        <f>IF(L55="比较法",L49,IF(L55="基准地价",L50,0))</f>
        <v>0</v>
      </c>
      <c r="R58" s="1555" t="s">
        <v>1249</v>
      </c>
    </row>
    <row r="59" spans="1:18" s="1519" customFormat="1" ht="24.75" thickBot="1">
      <c r="A59" s="1094" t="s">
        <v>822</v>
      </c>
      <c r="B59" s="1062" t="s">
        <v>1149</v>
      </c>
      <c r="C59" s="2484">
        <f ca="1">ROUND(IF(AND(项目基本情况!B11="自然人",项目基本情况!B10="北京市"),C49*F59/(1+'数据-取费表'!C42),C60+C61+C62),0)</f>
        <v>0</v>
      </c>
      <c r="D59" s="1075" t="s">
        <v>1150</v>
      </c>
      <c r="E59" s="1076" t="s">
        <v>1151</v>
      </c>
      <c r="F59" s="2483" t="str">
        <f>IF(项目基本情况!B11="企业","——",IF('数据-取费表'!B10="住宅",IF(F49*F50*F51/12/(1+'数据-取费表'!F30)&gt;100000,4%,2.5%),IF(F49*F50*F51/12/(1+'数据-取费表'!F30)&gt;100000,12%,7%)))</f>
        <v>——</v>
      </c>
      <c r="I59" s="1590" t="s">
        <v>1283</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1284</v>
      </c>
      <c r="Q59" s="1566">
        <f>L52</f>
        <v>0</v>
      </c>
      <c r="R59" s="1555"/>
    </row>
    <row r="60" spans="1:18" s="1519" customFormat="1" ht="16.5" thickBot="1">
      <c r="A60" s="1094" t="s">
        <v>821</v>
      </c>
      <c r="B60" s="1062" t="s">
        <v>1153</v>
      </c>
      <c r="C60" s="24">
        <f ca="1">IF(项目基本情况!B11="自然人","——",ROUND(C48*F60/(1+'数据-取费表'!C42),0))</f>
        <v>0</v>
      </c>
      <c r="D60" s="1076" t="s">
        <v>1154</v>
      </c>
      <c r="E60" s="1062" t="s">
        <v>1142</v>
      </c>
      <c r="F60" s="337">
        <f t="shared" ref="F60:F66" si="0">F32</f>
        <v>5.6000000000000001E-2</v>
      </c>
      <c r="I60" s="1593" t="s">
        <v>1285</v>
      </c>
      <c r="J60" s="1594" t="e">
        <f ca="1">IF(OR(M47="住宅",J51&lt;L48,J56="是"),"0",ROUND(J59/(1+J52)^J53,0))</f>
        <v>#DIV/0!</v>
      </c>
      <c r="K60" s="1595" t="s">
        <v>1286</v>
      </c>
      <c r="L60" s="1594" t="e">
        <f ca="1">IF(OR(M47="住宅",L48&lt;J51),0,ROUND(L57*(L58/L59-1),0))</f>
        <v>#DIV/0!</v>
      </c>
      <c r="O60" s="1563" t="s">
        <v>831</v>
      </c>
      <c r="P60" s="1554" t="s">
        <v>1287</v>
      </c>
      <c r="Q60" s="1555" t="e">
        <f ca="1">L58</f>
        <v>#DIV/0!</v>
      </c>
      <c r="R60" s="1555" t="s">
        <v>1288</v>
      </c>
    </row>
    <row r="61" spans="1:18" s="1519" customFormat="1" ht="13.5" thickBot="1">
      <c r="A61" s="1094" t="s">
        <v>1212</v>
      </c>
      <c r="B61" s="1062" t="s">
        <v>1213</v>
      </c>
      <c r="C61" s="24">
        <f ca="1">IF(项目基本情况!B11="自然人","——",IF(D61="按租金收入计税",ROUND(C49*F61/(1+'数据-取费表'!C42),0),IF(D61="按房产原值计税",ROUND(C57*F61*0.7,0),INDIRECT("'数据-取费表'!Aj"&amp;$G$1))))</f>
        <v>0</v>
      </c>
      <c r="D61" s="1505" t="s">
        <v>1158</v>
      </c>
      <c r="E61" s="1062" t="s">
        <v>1214</v>
      </c>
      <c r="F61" s="328">
        <f t="shared" si="0"/>
        <v>1.2E-2</v>
      </c>
      <c r="I61" s="1596"/>
      <c r="J61" s="1596"/>
      <c r="K61" s="1596"/>
      <c r="L61" s="1596"/>
      <c r="O61" s="1563" t="s">
        <v>832</v>
      </c>
      <c r="P61" s="1554" t="str">
        <f>K59</f>
        <v>建设期及建筑物耐用年限下的土地年期修正系数Kn</v>
      </c>
      <c r="Q61" s="1555" t="e">
        <f ca="1">L59</f>
        <v>#DIV/0!</v>
      </c>
      <c r="R61" s="1555" t="s">
        <v>1289</v>
      </c>
    </row>
    <row r="62" spans="1:18" s="1519" customFormat="1" ht="13.5" thickBot="1">
      <c r="A62" s="1094" t="s">
        <v>1215</v>
      </c>
      <c r="B62" s="1061" t="s">
        <v>1216</v>
      </c>
      <c r="C62" s="25">
        <f ca="1">IF(项目基本情况!B11="自然人","——",ROUND(F62*F63,0))</f>
        <v>0</v>
      </c>
      <c r="D62" s="1077" t="s">
        <v>1217</v>
      </c>
      <c r="E62" s="1062" t="s">
        <v>1218</v>
      </c>
      <c r="F62" s="331">
        <f t="shared" si="0"/>
        <v>30</v>
      </c>
      <c r="I62" s="1597" t="s">
        <v>1290</v>
      </c>
      <c r="J62" s="1598" t="s">
        <v>1291</v>
      </c>
      <c r="K62" s="1598" t="s">
        <v>1292</v>
      </c>
      <c r="L62" s="1598" t="s">
        <v>1293</v>
      </c>
      <c r="M62" s="1599" t="s">
        <v>1294</v>
      </c>
      <c r="O62" s="1553" t="s">
        <v>833</v>
      </c>
      <c r="P62" s="1554" t="s">
        <v>1295</v>
      </c>
      <c r="Q62" s="1555" t="e">
        <f ca="1">Q56+Q57</f>
        <v>#DIV/0!</v>
      </c>
      <c r="R62" s="1555" t="s">
        <v>834</v>
      </c>
    </row>
    <row r="63" spans="1:18" s="1519" customFormat="1" ht="13.5" thickBot="1">
      <c r="A63" s="332"/>
      <c r="B63" s="1068"/>
      <c r="C63" s="29"/>
      <c r="D63" s="1078"/>
      <c r="E63" s="1062" t="s">
        <v>1219</v>
      </c>
      <c r="F63" s="309">
        <f t="shared" ca="1" si="0"/>
        <v>0</v>
      </c>
      <c r="I63" s="1597" t="s">
        <v>1296</v>
      </c>
      <c r="J63" s="1598">
        <v>70</v>
      </c>
      <c r="K63" s="1598">
        <v>50</v>
      </c>
      <c r="L63" s="1598">
        <v>80</v>
      </c>
      <c r="M63" s="1600">
        <v>0.02</v>
      </c>
      <c r="O63" s="1538" t="s">
        <v>1297</v>
      </c>
      <c r="P63" s="1516"/>
      <c r="Q63" s="1516"/>
      <c r="R63" s="1516"/>
    </row>
    <row r="64" spans="1:18" s="1519" customFormat="1" ht="13.5" thickBot="1">
      <c r="A64" s="1094" t="s">
        <v>1220</v>
      </c>
      <c r="B64" s="1062" t="s">
        <v>1221</v>
      </c>
      <c r="C64" s="24">
        <f ca="1">ROUND(C57*F64,0)</f>
        <v>0</v>
      </c>
      <c r="D64" s="1076" t="s">
        <v>1222</v>
      </c>
      <c r="E64" s="1062" t="s">
        <v>1214</v>
      </c>
      <c r="F64" s="334">
        <f t="shared" ca="1" si="0"/>
        <v>0</v>
      </c>
      <c r="I64" s="1597" t="s">
        <v>1298</v>
      </c>
      <c r="J64" s="1598">
        <v>50</v>
      </c>
      <c r="K64" s="1598">
        <v>35</v>
      </c>
      <c r="L64" s="1598">
        <v>60</v>
      </c>
      <c r="M64" s="1599">
        <v>0</v>
      </c>
      <c r="O64" s="1546" t="s">
        <v>1242</v>
      </c>
      <c r="P64" s="1547" t="s">
        <v>1243</v>
      </c>
      <c r="Q64" s="1548" t="s">
        <v>1244</v>
      </c>
      <c r="R64" s="1548" t="s">
        <v>1245</v>
      </c>
    </row>
    <row r="65" spans="1:18" s="1519" customFormat="1" ht="13.5" thickBot="1">
      <c r="A65" s="1094" t="s">
        <v>1223</v>
      </c>
      <c r="B65" s="1062" t="s">
        <v>1173</v>
      </c>
      <c r="C65" s="24">
        <f ca="1">ROUND(C56*F65,0)</f>
        <v>0</v>
      </c>
      <c r="D65" s="1076" t="s">
        <v>1174</v>
      </c>
      <c r="E65" s="1062" t="s">
        <v>1175</v>
      </c>
      <c r="F65" s="336">
        <f t="shared" ca="1" si="0"/>
        <v>0</v>
      </c>
      <c r="I65" s="1597" t="s">
        <v>1299</v>
      </c>
      <c r="J65" s="1598">
        <v>40</v>
      </c>
      <c r="K65" s="1598">
        <v>30</v>
      </c>
      <c r="L65" s="1598">
        <v>50</v>
      </c>
      <c r="M65" s="1600">
        <v>0.02</v>
      </c>
      <c r="O65" s="1553" t="s">
        <v>827</v>
      </c>
      <c r="P65" s="1554" t="s">
        <v>1300</v>
      </c>
      <c r="Q65" s="1555" t="e">
        <f ca="1">C40+J29</f>
        <v>#DIV/0!</v>
      </c>
      <c r="R65" s="1555" t="s">
        <v>1249</v>
      </c>
    </row>
    <row r="66" spans="1:18" s="1519" customFormat="1" ht="16.5" thickBot="1">
      <c r="A66" s="1094" t="s">
        <v>1224</v>
      </c>
      <c r="B66" s="1062" t="s">
        <v>1159</v>
      </c>
      <c r="C66" s="24">
        <f ca="1">ROUND(C48*F66,0)</f>
        <v>0</v>
      </c>
      <c r="D66" s="1076" t="s">
        <v>1225</v>
      </c>
      <c r="E66" s="1062" t="s">
        <v>1142</v>
      </c>
      <c r="F66" s="318">
        <f t="shared" ca="1" si="0"/>
        <v>0</v>
      </c>
      <c r="O66" s="1553" t="s">
        <v>828</v>
      </c>
      <c r="P66" s="1554" t="s">
        <v>1278</v>
      </c>
      <c r="Q66" s="1555" t="e">
        <f ca="1">L60</f>
        <v>#DIV/0!</v>
      </c>
      <c r="R66" s="1555" t="s">
        <v>1301</v>
      </c>
    </row>
    <row r="67" spans="1:18" s="1519" customFormat="1" ht="16.5" thickBot="1">
      <c r="A67" s="1069" t="s">
        <v>818</v>
      </c>
      <c r="B67" s="1079" t="s">
        <v>1183</v>
      </c>
      <c r="C67" s="322">
        <f ca="1">C48-C58</f>
        <v>0</v>
      </c>
      <c r="D67" s="1075" t="s">
        <v>1184</v>
      </c>
      <c r="E67" s="1080"/>
      <c r="F67" s="1081"/>
      <c r="O67" s="1563" t="s">
        <v>829</v>
      </c>
      <c r="P67" s="1554" t="s">
        <v>1282</v>
      </c>
      <c r="Q67" s="1601">
        <f ca="1">L51</f>
        <v>0</v>
      </c>
      <c r="R67" s="1555" t="s">
        <v>1302</v>
      </c>
    </row>
    <row r="68" spans="1:18" s="1519" customFormat="1" ht="16.5" thickBot="1">
      <c r="A68" s="1059" t="s">
        <v>819</v>
      </c>
      <c r="B68" s="1060" t="s">
        <v>1205</v>
      </c>
      <c r="C68" s="307" t="e">
        <f ca="1">ROUND(C67*(1-((1+F70)/(1+F68))^F69)/(F68-F70),0)</f>
        <v>#DIV/0!</v>
      </c>
      <c r="D68" s="1077" t="s">
        <v>1189</v>
      </c>
      <c r="E68" s="1062" t="s">
        <v>1190</v>
      </c>
      <c r="F68" s="318">
        <f ca="1">F40</f>
        <v>0</v>
      </c>
      <c r="O68" s="1563" t="s">
        <v>830</v>
      </c>
      <c r="P68" s="1602" t="s">
        <v>1303</v>
      </c>
      <c r="Q68" s="1555">
        <f ca="1">ROUND(Q69-Q70*Q71,0)</f>
        <v>0</v>
      </c>
      <c r="R68" s="1555" t="s">
        <v>838</v>
      </c>
    </row>
    <row r="69" spans="1:18" s="1519" customFormat="1" ht="13.5" thickBot="1">
      <c r="A69" s="1063"/>
      <c r="B69" s="1064"/>
      <c r="C69" s="312"/>
      <c r="D69" s="1082" t="s">
        <v>1193</v>
      </c>
      <c r="E69" s="1062" t="s">
        <v>1194</v>
      </c>
      <c r="F69" s="339">
        <f ca="1">F41</f>
        <v>0</v>
      </c>
      <c r="O69" s="1563" t="s">
        <v>835</v>
      </c>
      <c r="P69" s="1602" t="s">
        <v>1304</v>
      </c>
      <c r="Q69" s="1555">
        <f ca="1">C39</f>
        <v>0</v>
      </c>
      <c r="R69" s="1555" t="s">
        <v>1249</v>
      </c>
    </row>
    <row r="70" spans="1:18" s="1519" customFormat="1" ht="13.5" thickBot="1">
      <c r="A70" s="1066"/>
      <c r="B70" s="1067"/>
      <c r="C70" s="316"/>
      <c r="D70" s="1078"/>
      <c r="E70" s="1062" t="s">
        <v>1197</v>
      </c>
      <c r="F70" s="1166">
        <f ca="1">F42</f>
        <v>0</v>
      </c>
      <c r="O70" s="1563" t="s">
        <v>836</v>
      </c>
      <c r="P70" s="1602" t="s">
        <v>1305</v>
      </c>
      <c r="Q70" s="1555">
        <f ca="1">C13</f>
        <v>0</v>
      </c>
      <c r="R70" s="1555" t="s">
        <v>1249</v>
      </c>
    </row>
    <row r="71" spans="1:18" s="1519" customFormat="1" ht="13.5" thickBot="1">
      <c r="A71" s="1083" t="s">
        <v>820</v>
      </c>
      <c r="B71" s="1084" t="s">
        <v>1207</v>
      </c>
      <c r="C71" s="342" t="e">
        <f ca="1">ROUND(C68/F71,0)</f>
        <v>#DIV/0!</v>
      </c>
      <c r="D71" s="1085" t="s">
        <v>1208</v>
      </c>
      <c r="E71" s="1086" t="s">
        <v>1209</v>
      </c>
      <c r="F71" s="345">
        <f ca="1">F43</f>
        <v>0</v>
      </c>
      <c r="O71" s="1563" t="s">
        <v>837</v>
      </c>
      <c r="P71" s="1602" t="s">
        <v>1306</v>
      </c>
      <c r="Q71" s="1566">
        <f ca="1">C76</f>
        <v>0</v>
      </c>
      <c r="R71" s="1555"/>
    </row>
    <row r="72" spans="1:18" s="1519" customFormat="1" ht="13.5" thickBot="1">
      <c r="B72" s="735"/>
      <c r="C72" s="735"/>
      <c r="O72" s="1563" t="s">
        <v>831</v>
      </c>
      <c r="P72" s="1554" t="s">
        <v>1284</v>
      </c>
      <c r="Q72" s="1566">
        <f>L52</f>
        <v>0</v>
      </c>
      <c r="R72" s="1555"/>
    </row>
    <row r="73" spans="1:18" ht="16.5" thickBot="1">
      <c r="A73" s="1519"/>
      <c r="B73" s="735"/>
      <c r="C73" s="735"/>
      <c r="D73" s="1519"/>
      <c r="E73" s="1519"/>
      <c r="F73" s="1519"/>
      <c r="O73" s="1563" t="s">
        <v>832</v>
      </c>
      <c r="P73" s="1554" t="s">
        <v>1287</v>
      </c>
      <c r="Q73" s="1555" t="e">
        <f ca="1">L58</f>
        <v>#DIV/0!</v>
      </c>
      <c r="R73" s="1555" t="s">
        <v>1288</v>
      </c>
    </row>
    <row r="74" spans="1:18" ht="13.5" thickBot="1">
      <c r="A74" s="1519"/>
      <c r="B74" s="279" t="s">
        <v>1307</v>
      </c>
      <c r="C74" s="1604"/>
      <c r="D74" s="1519"/>
      <c r="E74" s="1519"/>
      <c r="F74" s="1519"/>
      <c r="O74" s="1563" t="s">
        <v>839</v>
      </c>
      <c r="P74" s="1554" t="str">
        <f>K59</f>
        <v>建设期及建筑物耐用年限下的土地年期修正系数Kn</v>
      </c>
      <c r="Q74" s="1555" t="e">
        <f ca="1">L59</f>
        <v>#DIV/0!</v>
      </c>
      <c r="R74" s="1555" t="s">
        <v>1289</v>
      </c>
    </row>
    <row r="75" spans="1:18" ht="13.5" thickBot="1">
      <c r="A75" s="1519"/>
      <c r="B75" s="346" t="s">
        <v>1226</v>
      </c>
      <c r="C75" s="347">
        <f ca="1">ROUND(C13*C76,0)</f>
        <v>0</v>
      </c>
      <c r="D75" s="1519"/>
      <c r="E75" s="1519"/>
      <c r="F75" s="1519"/>
      <c r="K75" s="1537"/>
      <c r="L75" s="1519"/>
      <c r="O75" s="1553" t="s">
        <v>833</v>
      </c>
      <c r="P75" s="1554" t="s">
        <v>1269</v>
      </c>
      <c r="Q75" s="1555" t="e">
        <f ca="1">Q65+Q66</f>
        <v>#DIV/0!</v>
      </c>
      <c r="R75" s="1555" t="s">
        <v>834</v>
      </c>
    </row>
    <row r="76" spans="1:18">
      <c r="B76" s="348" t="s">
        <v>1227</v>
      </c>
      <c r="C76" s="349">
        <f ca="1">INDIRECT("'数据-取费表'!j"&amp;$G$1)</f>
        <v>0</v>
      </c>
      <c r="I76" s="1519"/>
      <c r="J76" s="1519"/>
      <c r="K76" s="1537"/>
      <c r="L76" s="1519"/>
    </row>
    <row r="77" spans="1:18">
      <c r="B77" s="350" t="s">
        <v>1228</v>
      </c>
      <c r="C77" s="351"/>
      <c r="I77" s="1519"/>
      <c r="J77" s="1519"/>
      <c r="K77" s="1537"/>
      <c r="L77" s="1519"/>
    </row>
    <row r="78" spans="1:18">
      <c r="B78" s="276" t="s">
        <v>1229</v>
      </c>
      <c r="C78" s="352"/>
    </row>
    <row r="79" spans="1:18">
      <c r="B79" s="346" t="s">
        <v>1230</v>
      </c>
      <c r="C79" s="280" t="e">
        <f ca="1">1-C80</f>
        <v>#DIV/0!</v>
      </c>
    </row>
    <row r="80" spans="1:18">
      <c r="B80" s="346" t="s">
        <v>1231</v>
      </c>
      <c r="C80" s="280" t="e">
        <f ca="1">ROUND(C75/C39,3)</f>
        <v>#DIV/0!</v>
      </c>
    </row>
    <row r="81" spans="2:3">
      <c r="B81" s="276" t="s">
        <v>1232</v>
      </c>
      <c r="C81" s="244"/>
    </row>
    <row r="82" spans="2:3">
      <c r="B82" s="279" t="s">
        <v>1233</v>
      </c>
      <c r="C82" s="281" t="e">
        <f ca="1">1-C83</f>
        <v>#DIV/0!</v>
      </c>
    </row>
    <row r="83" spans="2:3">
      <c r="B83" s="279" t="s">
        <v>1234</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S1"/>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2924</v>
      </c>
      <c r="B1" s="3010"/>
      <c r="C1" s="3022"/>
      <c r="D1" s="3022"/>
      <c r="E1" s="3011"/>
      <c r="F1" s="3012"/>
      <c r="G1" s="3013"/>
      <c r="J1" s="3016" t="s">
        <v>2803</v>
      </c>
      <c r="K1" s="3017"/>
      <c r="L1" s="3017"/>
      <c r="M1" s="3017"/>
      <c r="N1" s="3017"/>
      <c r="O1" s="3017"/>
      <c r="P1" s="3017"/>
      <c r="Q1" s="3017"/>
      <c r="R1" s="3018"/>
      <c r="S1" s="3019"/>
      <c r="T1" s="3019"/>
      <c r="U1" s="3019"/>
    </row>
    <row r="2" spans="1:22" s="3031" customFormat="1" ht="13.15" customHeight="1">
      <c r="A2" s="1520" t="s">
        <v>2804</v>
      </c>
      <c r="B2" s="3021" t="e">
        <f>C40</f>
        <v>#DIV/0!</v>
      </c>
      <c r="C2" s="3022" t="s">
        <v>2805</v>
      </c>
      <c r="D2" s="3022"/>
      <c r="E2" s="3023"/>
      <c r="F2" s="3024"/>
      <c r="G2" s="3025"/>
      <c r="H2" s="3026"/>
      <c r="I2" s="3027"/>
      <c r="J2" s="3471" t="s">
        <v>2806</v>
      </c>
      <c r="K2" s="3472"/>
      <c r="L2" s="3028" t="s">
        <v>2807</v>
      </c>
      <c r="M2" s="3028" t="s">
        <v>2808</v>
      </c>
      <c r="N2" s="3028" t="s">
        <v>2809</v>
      </c>
      <c r="O2" s="3028" t="s">
        <v>2810</v>
      </c>
      <c r="P2" s="3028" t="s">
        <v>2811</v>
      </c>
      <c r="Q2" s="3029" t="s">
        <v>2812</v>
      </c>
      <c r="R2" s="3030" t="s">
        <v>2813</v>
      </c>
      <c r="S2" s="3019"/>
      <c r="T2" s="3019"/>
      <c r="U2" s="3019"/>
      <c r="V2" s="3027"/>
    </row>
    <row r="3" spans="1:22" s="3031" customFormat="1" ht="13.15" customHeight="1">
      <c r="A3" s="3032" t="s">
        <v>2814</v>
      </c>
      <c r="B3" s="3033" t="e">
        <f>ROUND(B2*10000/B4,0)</f>
        <v>#DIV/0!</v>
      </c>
      <c r="C3" s="3022" t="s">
        <v>2815</v>
      </c>
      <c r="D3" s="3022"/>
      <c r="E3" s="3023"/>
      <c r="F3" s="3024"/>
      <c r="G3" s="3025"/>
      <c r="H3" s="3026"/>
      <c r="I3" s="3027"/>
      <c r="J3" s="3473" t="s">
        <v>2816</v>
      </c>
      <c r="K3" s="3474"/>
      <c r="L3" s="3034"/>
      <c r="M3" s="3034"/>
      <c r="N3" s="3034"/>
      <c r="O3" s="3034"/>
      <c r="P3" s="3034"/>
      <c r="Q3" s="3035"/>
      <c r="R3" s="3036">
        <f>SUM(L3:Q3)</f>
        <v>0</v>
      </c>
      <c r="S3" s="3019"/>
      <c r="T3" s="3019"/>
      <c r="U3" s="3019"/>
      <c r="V3" s="3027"/>
    </row>
    <row r="4" spans="1:22" s="3031" customFormat="1" ht="13.15" customHeight="1">
      <c r="A4" s="3037" t="s">
        <v>2817</v>
      </c>
      <c r="B4" s="3038"/>
      <c r="C4" s="3022"/>
      <c r="D4" s="3022"/>
      <c r="E4" s="3023"/>
      <c r="F4" s="3024"/>
      <c r="G4" s="3025"/>
      <c r="H4" s="3026"/>
      <c r="I4" s="3027"/>
      <c r="J4" s="3473" t="s">
        <v>2818</v>
      </c>
      <c r="K4" s="3474"/>
      <c r="L4" s="3039"/>
      <c r="M4" s="3039"/>
      <c r="N4" s="3039"/>
      <c r="O4" s="3039"/>
      <c r="P4" s="3039"/>
      <c r="Q4" s="3040"/>
      <c r="R4" s="3041">
        <f>SUM(L4:Q4)</f>
        <v>0</v>
      </c>
      <c r="S4" s="3019"/>
      <c r="T4" s="3019"/>
      <c r="U4" s="3019"/>
      <c r="V4" s="3027"/>
    </row>
    <row r="5" spans="1:22" s="3031" customFormat="1" ht="13.15" customHeight="1" thickBot="1">
      <c r="A5" s="3042" t="s">
        <v>2819</v>
      </c>
      <c r="B5" s="3043"/>
      <c r="C5" s="3022"/>
      <c r="D5" s="3044"/>
      <c r="E5" s="3024"/>
      <c r="F5" s="3024"/>
      <c r="G5" s="3025"/>
      <c r="H5" s="3026"/>
      <c r="I5" s="3027"/>
      <c r="J5" s="3045" t="s">
        <v>2820</v>
      </c>
      <c r="K5" s="3046"/>
      <c r="L5" s="3046"/>
      <c r="M5" s="3047"/>
      <c r="N5" s="3047"/>
      <c r="O5" s="3047"/>
      <c r="P5" s="3047"/>
      <c r="Q5" s="3047"/>
      <c r="R5" s="3030">
        <f>SUM(R14,R19,R24,R25,R27,R28)</f>
        <v>0</v>
      </c>
      <c r="S5" s="3019"/>
      <c r="T5" s="3019" t="s">
        <v>2821</v>
      </c>
      <c r="U5" s="3019" t="e">
        <f>ROUND(R5*10000/365/R3,1)</f>
        <v>#DIV/0!</v>
      </c>
      <c r="V5" s="3027"/>
    </row>
    <row r="6" spans="1:22" s="3031" customFormat="1" ht="13.15" customHeight="1" thickBot="1">
      <c r="A6" s="3475" t="s">
        <v>2822</v>
      </c>
      <c r="B6" s="3476"/>
      <c r="C6" s="3477"/>
      <c r="D6" s="3048"/>
      <c r="E6" s="3049"/>
      <c r="F6" s="3050"/>
      <c r="G6" s="3051"/>
      <c r="H6" s="3026"/>
      <c r="I6" s="3027"/>
      <c r="J6" s="3478">
        <v>1</v>
      </c>
      <c r="K6" s="3479" t="s">
        <v>2823</v>
      </c>
      <c r="L6" s="3052" t="s">
        <v>2824</v>
      </c>
      <c r="M6" s="3053" t="s">
        <v>2825</v>
      </c>
      <c r="N6" s="3053" t="s">
        <v>2826</v>
      </c>
      <c r="O6" s="3053" t="s">
        <v>2827</v>
      </c>
      <c r="P6" s="3053" t="s">
        <v>2828</v>
      </c>
      <c r="Q6" s="3053" t="s">
        <v>2829</v>
      </c>
      <c r="R6" s="3036" t="s">
        <v>2830</v>
      </c>
      <c r="S6" s="3019"/>
      <c r="T6" s="3019" t="s">
        <v>2831</v>
      </c>
      <c r="U6" s="3019"/>
      <c r="V6" s="3027"/>
    </row>
    <row r="7" spans="1:22" s="3031" customFormat="1" ht="13.15" customHeight="1">
      <c r="A7" s="3054" t="s">
        <v>2832</v>
      </c>
      <c r="B7" s="3055"/>
      <c r="C7" s="3056"/>
      <c r="D7" s="3057">
        <f>SUM(D9,D10,D11,D17,0)</f>
        <v>0</v>
      </c>
      <c r="E7" s="3058" t="e">
        <f>E9+E10+E11+E17</f>
        <v>#DIV/0!</v>
      </c>
      <c r="F7" s="3059"/>
      <c r="G7" s="3060"/>
      <c r="H7" s="3026"/>
      <c r="I7" s="3027"/>
      <c r="J7" s="3478"/>
      <c r="K7" s="3480"/>
      <c r="L7" s="3061" t="s">
        <v>2833</v>
      </c>
      <c r="M7" s="3062"/>
      <c r="N7" s="3038"/>
      <c r="O7" s="3063"/>
      <c r="P7" s="3063"/>
      <c r="Q7" s="3064">
        <v>365</v>
      </c>
      <c r="R7" s="3065">
        <f>ROUND(M7*N7*O7*P7*Q7/10000,0)</f>
        <v>0</v>
      </c>
      <c r="S7" s="3019"/>
      <c r="T7" s="3019" t="s">
        <v>2834</v>
      </c>
      <c r="U7" s="3019"/>
      <c r="V7" s="3027"/>
    </row>
    <row r="8" spans="1:22" s="3031" customFormat="1" ht="13.15" customHeight="1">
      <c r="A8" s="3066" t="s">
        <v>2835</v>
      </c>
      <c r="B8" s="3482" t="s">
        <v>2836</v>
      </c>
      <c r="C8" s="3483"/>
      <c r="D8" s="3067" t="s">
        <v>2837</v>
      </c>
      <c r="E8" s="3068" t="s">
        <v>2838</v>
      </c>
      <c r="F8" s="3069" t="s">
        <v>2839</v>
      </c>
      <c r="G8" s="3070"/>
      <c r="H8" s="3026"/>
      <c r="I8" s="3027"/>
      <c r="J8" s="3478"/>
      <c r="K8" s="3480"/>
      <c r="L8" s="3061" t="s">
        <v>2840</v>
      </c>
      <c r="M8" s="3062"/>
      <c r="N8" s="3038"/>
      <c r="O8" s="3063"/>
      <c r="P8" s="3063"/>
      <c r="Q8" s="3064">
        <v>365</v>
      </c>
      <c r="R8" s="3065">
        <f t="shared" ref="R8:R13" si="0">ROUND(M8*N8*O8*P8*Q8/10000,0)</f>
        <v>0</v>
      </c>
      <c r="S8" s="3019"/>
      <c r="T8" s="3019" t="s">
        <v>2841</v>
      </c>
      <c r="U8" s="3019"/>
      <c r="V8" s="3027"/>
    </row>
    <row r="9" spans="1:22" s="3031" customFormat="1" ht="13.15" customHeight="1">
      <c r="A9" s="3066">
        <v>1</v>
      </c>
      <c r="B9" s="3482" t="s">
        <v>2842</v>
      </c>
      <c r="C9" s="3483"/>
      <c r="D9" s="3067">
        <f>ROUND(D6*E9,0)</f>
        <v>0</v>
      </c>
      <c r="E9" s="3071"/>
      <c r="F9" s="3072" t="s">
        <v>2843</v>
      </c>
      <c r="G9" s="3051"/>
      <c r="H9" s="3026"/>
      <c r="I9" s="3027"/>
      <c r="J9" s="3478"/>
      <c r="K9" s="3480"/>
      <c r="L9" s="3061" t="s">
        <v>2844</v>
      </c>
      <c r="M9" s="3062"/>
      <c r="N9" s="3038"/>
      <c r="O9" s="3063"/>
      <c r="P9" s="3063"/>
      <c r="Q9" s="3064">
        <v>365</v>
      </c>
      <c r="R9" s="3065">
        <f t="shared" si="0"/>
        <v>0</v>
      </c>
      <c r="S9" s="3019"/>
      <c r="T9" s="3019"/>
      <c r="U9" s="3019"/>
      <c r="V9" s="3027"/>
    </row>
    <row r="10" spans="1:22" s="3031" customFormat="1" ht="13.15" customHeight="1">
      <c r="A10" s="3066">
        <v>2</v>
      </c>
      <c r="B10" s="3482" t="s">
        <v>2845</v>
      </c>
      <c r="C10" s="3483"/>
      <c r="D10" s="3067">
        <f>ROUND(D6*E10,0)</f>
        <v>0</v>
      </c>
      <c r="E10" s="3071"/>
      <c r="F10" s="3072" t="s">
        <v>2846</v>
      </c>
      <c r="G10" s="3051"/>
      <c r="H10" s="3026"/>
      <c r="I10" s="3027"/>
      <c r="J10" s="3478"/>
      <c r="K10" s="3480"/>
      <c r="L10" s="3061" t="s">
        <v>2847</v>
      </c>
      <c r="M10" s="3062"/>
      <c r="N10" s="3038"/>
      <c r="O10" s="3063"/>
      <c r="P10" s="3063"/>
      <c r="Q10" s="3064">
        <v>365</v>
      </c>
      <c r="R10" s="3065">
        <f t="shared" si="0"/>
        <v>0</v>
      </c>
      <c r="S10" s="3019"/>
      <c r="T10" s="3019"/>
      <c r="U10" s="3019"/>
      <c r="V10" s="3027"/>
    </row>
    <row r="11" spans="1:22" s="3031" customFormat="1" ht="13.15" customHeight="1">
      <c r="A11" s="3066">
        <v>3</v>
      </c>
      <c r="B11" s="3482" t="s">
        <v>2848</v>
      </c>
      <c r="C11" s="3483"/>
      <c r="D11" s="3067">
        <f>D12+D14+D15+D16</f>
        <v>0</v>
      </c>
      <c r="E11" s="3073" t="e">
        <f>D11/D6</f>
        <v>#DIV/0!</v>
      </c>
      <c r="F11" s="3069"/>
      <c r="G11" s="3070"/>
      <c r="H11" s="3026"/>
      <c r="I11" s="3027"/>
      <c r="J11" s="3478"/>
      <c r="K11" s="3480"/>
      <c r="L11" s="3061" t="s">
        <v>2849</v>
      </c>
      <c r="M11" s="3062"/>
      <c r="N11" s="3038"/>
      <c r="O11" s="3063"/>
      <c r="P11" s="3063"/>
      <c r="Q11" s="3064">
        <v>365</v>
      </c>
      <c r="R11" s="3065">
        <f t="shared" si="0"/>
        <v>0</v>
      </c>
      <c r="S11" s="3019"/>
      <c r="T11" s="3019"/>
      <c r="U11" s="3019"/>
      <c r="V11" s="3027"/>
    </row>
    <row r="12" spans="1:22" s="3031" customFormat="1" ht="13.15" customHeight="1">
      <c r="A12" s="3074" t="s">
        <v>2850</v>
      </c>
      <c r="B12" s="3484" t="s">
        <v>2851</v>
      </c>
      <c r="C12" s="3485"/>
      <c r="D12" s="3075">
        <f>ROUND(D13*1.2%*(1-30%),0)</f>
        <v>0</v>
      </c>
      <c r="E12" s="3076">
        <v>1.2E-2</v>
      </c>
      <c r="F12" s="3069" t="s">
        <v>2852</v>
      </c>
      <c r="G12" s="3070"/>
      <c r="H12" s="3026"/>
      <c r="I12" s="3027"/>
      <c r="J12" s="3478"/>
      <c r="K12" s="3480"/>
      <c r="L12" s="3061" t="s">
        <v>2853</v>
      </c>
      <c r="M12" s="3062"/>
      <c r="N12" s="3038"/>
      <c r="O12" s="3063"/>
      <c r="P12" s="3063"/>
      <c r="Q12" s="3064">
        <v>365</v>
      </c>
      <c r="R12" s="3065">
        <f t="shared" si="0"/>
        <v>0</v>
      </c>
      <c r="S12" s="3019"/>
      <c r="T12" s="3019"/>
      <c r="U12" s="3019"/>
      <c r="V12" s="3027"/>
    </row>
    <row r="13" spans="1:22" s="3031" customFormat="1" ht="13.15" customHeight="1">
      <c r="A13" s="3074"/>
      <c r="B13" s="3077"/>
      <c r="C13" s="3078" t="s">
        <v>2854</v>
      </c>
      <c r="D13" s="3079"/>
      <c r="E13" s="3080"/>
      <c r="F13" s="3069"/>
      <c r="G13" s="3070"/>
      <c r="H13" s="3026"/>
      <c r="I13" s="3027"/>
      <c r="J13" s="3478"/>
      <c r="K13" s="3480"/>
      <c r="L13" s="3061" t="s">
        <v>2855</v>
      </c>
      <c r="M13" s="3062"/>
      <c r="N13" s="3038"/>
      <c r="O13" s="3063"/>
      <c r="P13" s="3063"/>
      <c r="Q13" s="3064">
        <v>365</v>
      </c>
      <c r="R13" s="3065">
        <f t="shared" si="0"/>
        <v>0</v>
      </c>
      <c r="S13" s="3019"/>
      <c r="T13" s="3019"/>
      <c r="U13" s="3019"/>
      <c r="V13" s="3027"/>
    </row>
    <row r="14" spans="1:22" s="3031" customFormat="1" ht="13.15" customHeight="1">
      <c r="A14" s="3074" t="s">
        <v>2856</v>
      </c>
      <c r="B14" s="3484" t="s">
        <v>2857</v>
      </c>
      <c r="C14" s="3485"/>
      <c r="D14" s="3075">
        <f>ROUND(E14*B5/10000,0)</f>
        <v>0</v>
      </c>
      <c r="E14" s="3064"/>
      <c r="F14" s="3069" t="s">
        <v>2858</v>
      </c>
      <c r="G14" s="3070"/>
      <c r="H14" s="3026"/>
      <c r="I14" s="3027"/>
      <c r="J14" s="3478"/>
      <c r="K14" s="3481"/>
      <c r="L14" s="3081" t="s">
        <v>2859</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2860</v>
      </c>
      <c r="B15" s="3484" t="s">
        <v>2861</v>
      </c>
      <c r="C15" s="3485"/>
      <c r="D15" s="3075">
        <f>ROUND(D6*E15,0)</f>
        <v>0</v>
      </c>
      <c r="E15" s="3076">
        <v>5.5E-2</v>
      </c>
      <c r="F15" s="3069" t="s">
        <v>2862</v>
      </c>
      <c r="G15" s="3051"/>
      <c r="H15" s="3026"/>
      <c r="I15" s="3027"/>
      <c r="J15" s="3478">
        <v>2</v>
      </c>
      <c r="K15" s="3479" t="s">
        <v>2863</v>
      </c>
      <c r="L15" s="3061" t="s">
        <v>2864</v>
      </c>
      <c r="M15" s="3062" t="s">
        <v>2865</v>
      </c>
      <c r="N15" s="3062" t="s">
        <v>2866</v>
      </c>
      <c r="O15" s="3063" t="s">
        <v>2867</v>
      </c>
      <c r="P15" s="3063" t="s">
        <v>2829</v>
      </c>
      <c r="Q15" s="3038" t="s">
        <v>2868</v>
      </c>
      <c r="R15" s="3085" t="s">
        <v>2830</v>
      </c>
      <c r="S15" s="3019"/>
      <c r="T15" s="3019"/>
      <c r="U15" s="3019"/>
      <c r="V15" s="3027"/>
    </row>
    <row r="16" spans="1:22" s="3031" customFormat="1" ht="13.15" customHeight="1">
      <c r="A16" s="3074" t="s">
        <v>2869</v>
      </c>
      <c r="B16" s="3484" t="s">
        <v>2870</v>
      </c>
      <c r="C16" s="3485"/>
      <c r="D16" s="3086">
        <f>D6*E16</f>
        <v>0</v>
      </c>
      <c r="E16" s="3087"/>
      <c r="F16" s="3072" t="s">
        <v>2871</v>
      </c>
      <c r="G16" s="3051"/>
      <c r="H16" s="3026"/>
      <c r="I16" s="3027"/>
      <c r="J16" s="3478"/>
      <c r="K16" s="3480"/>
      <c r="L16" s="3061" t="s">
        <v>2872</v>
      </c>
      <c r="M16" s="3062"/>
      <c r="N16" s="3062"/>
      <c r="O16" s="3063"/>
      <c r="P16" s="3064">
        <v>365</v>
      </c>
      <c r="Q16" s="3038"/>
      <c r="R16" s="3085">
        <f>ROUND(M16*N16*O16*P16/10000,0)</f>
        <v>0</v>
      </c>
      <c r="S16" s="3019"/>
      <c r="T16" s="3019"/>
      <c r="U16" s="3019"/>
      <c r="V16" s="3027"/>
    </row>
    <row r="17" spans="1:22" s="3031" customFormat="1" ht="13.15" customHeight="1" thickBot="1">
      <c r="A17" s="3088">
        <v>4</v>
      </c>
      <c r="B17" s="3486" t="s">
        <v>2873</v>
      </c>
      <c r="C17" s="3487"/>
      <c r="D17" s="3089">
        <f>ROUND(D6*E17,0)</f>
        <v>0</v>
      </c>
      <c r="E17" s="3090"/>
      <c r="F17" s="3091" t="s">
        <v>2874</v>
      </c>
      <c r="G17" s="3051"/>
      <c r="H17" s="3026"/>
      <c r="I17" s="3027"/>
      <c r="J17" s="3478"/>
      <c r="K17" s="3480"/>
      <c r="L17" s="3061" t="s">
        <v>2875</v>
      </c>
      <c r="M17" s="3062"/>
      <c r="N17" s="3062"/>
      <c r="O17" s="3063"/>
      <c r="P17" s="3064">
        <v>365</v>
      </c>
      <c r="Q17" s="3038"/>
      <c r="R17" s="3085">
        <f>ROUND(M17*N17*O17*P17/10000,0)</f>
        <v>0</v>
      </c>
      <c r="S17" s="3019"/>
      <c r="T17" s="3019"/>
      <c r="U17" s="3019"/>
      <c r="V17" s="3027"/>
    </row>
    <row r="18" spans="1:22" s="3031" customFormat="1" ht="13.15" customHeight="1" thickBot="1">
      <c r="A18" s="3054" t="s">
        <v>2876</v>
      </c>
      <c r="B18" s="3055"/>
      <c r="C18" s="3055"/>
      <c r="D18" s="3092">
        <f>ROUND(D6*E18,0)</f>
        <v>0</v>
      </c>
      <c r="E18" s="3093"/>
      <c r="F18" s="3094" t="s">
        <v>2877</v>
      </c>
      <c r="G18" s="3051"/>
      <c r="H18" s="3026"/>
      <c r="I18" s="3027"/>
      <c r="J18" s="3478"/>
      <c r="K18" s="3480"/>
      <c r="L18" s="3061" t="s">
        <v>2878</v>
      </c>
      <c r="M18" s="3062"/>
      <c r="N18" s="3062"/>
      <c r="O18" s="3063"/>
      <c r="P18" s="3064">
        <v>365</v>
      </c>
      <c r="Q18" s="3038"/>
      <c r="R18" s="3085">
        <f>ROUND(M18*N18*O18*P18/10000,0)</f>
        <v>0</v>
      </c>
      <c r="S18" s="3019"/>
      <c r="T18" s="3019"/>
      <c r="U18" s="3019"/>
      <c r="V18" s="3027"/>
    </row>
    <row r="19" spans="1:22" s="3031" customFormat="1" ht="13.15" customHeight="1" thickBot="1">
      <c r="A19" s="3095" t="s">
        <v>2879</v>
      </c>
      <c r="B19" s="3049"/>
      <c r="C19" s="3049"/>
      <c r="D19" s="3049"/>
      <c r="E19" s="3049"/>
      <c r="F19" s="3050"/>
      <c r="G19" s="3070"/>
      <c r="H19" s="3026"/>
      <c r="I19" s="3027"/>
      <c r="J19" s="3478"/>
      <c r="K19" s="3481"/>
      <c r="L19" s="3081" t="s">
        <v>2859</v>
      </c>
      <c r="M19" s="3082"/>
      <c r="N19" s="3082">
        <f>SUM(N16:N18)</f>
        <v>0</v>
      </c>
      <c r="O19" s="3083"/>
      <c r="P19" s="3096" t="s">
        <v>2923</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78">
        <v>3</v>
      </c>
      <c r="K20" s="3479" t="s">
        <v>2880</v>
      </c>
      <c r="L20" s="3061" t="s">
        <v>2881</v>
      </c>
      <c r="M20" s="3062" t="s">
        <v>2882</v>
      </c>
      <c r="N20" s="3099" t="s">
        <v>2883</v>
      </c>
      <c r="O20" s="3063" t="s">
        <v>2884</v>
      </c>
      <c r="P20" s="3064" t="s">
        <v>2885</v>
      </c>
      <c r="Q20" s="3038" t="s">
        <v>2886</v>
      </c>
      <c r="R20" s="3085" t="s">
        <v>2887</v>
      </c>
      <c r="S20" s="3100"/>
      <c r="T20" s="3100"/>
      <c r="U20" s="3100"/>
      <c r="V20" s="3027"/>
    </row>
    <row r="21" spans="1:22" s="3031" customFormat="1" ht="13.15" customHeight="1">
      <c r="A21" s="3054"/>
      <c r="B21" s="3055"/>
      <c r="C21" s="3101" t="s">
        <v>2888</v>
      </c>
      <c r="D21" s="3102" t="s">
        <v>2889</v>
      </c>
      <c r="E21" s="3103" t="s">
        <v>2890</v>
      </c>
      <c r="F21" s="3098"/>
      <c r="G21" s="3070"/>
      <c r="H21" s="3026"/>
      <c r="I21" s="3027"/>
      <c r="J21" s="3478"/>
      <c r="K21" s="3480"/>
      <c r="L21" s="3061" t="s">
        <v>2891</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2892</v>
      </c>
      <c r="D22" s="3106" t="s">
        <v>2893</v>
      </c>
      <c r="E22" s="3107" t="s">
        <v>2894</v>
      </c>
      <c r="F22" s="3098"/>
      <c r="G22" s="3108"/>
      <c r="H22" s="3026"/>
      <c r="I22" s="3027"/>
      <c r="J22" s="3478"/>
      <c r="K22" s="3480"/>
      <c r="L22" s="3061" t="s">
        <v>2895</v>
      </c>
      <c r="M22" s="3062"/>
      <c r="N22" s="3062"/>
      <c r="O22" s="3063"/>
      <c r="P22" s="3064">
        <v>365</v>
      </c>
      <c r="Q22" s="3038"/>
      <c r="R22" s="3104">
        <f>ROUND(M22*N22*O22*P22/10000,0)</f>
        <v>0</v>
      </c>
      <c r="S22" s="3100"/>
      <c r="T22" s="3100"/>
      <c r="U22" s="3100"/>
      <c r="V22" s="3027"/>
    </row>
    <row r="23" spans="1:22" s="3031" customFormat="1" ht="13.15" customHeight="1">
      <c r="A23" s="3109">
        <v>1</v>
      </c>
      <c r="B23" s="3110" t="s">
        <v>2896</v>
      </c>
      <c r="C23" s="3111">
        <f>D6</f>
        <v>0</v>
      </c>
      <c r="D23" s="3112">
        <f>C23*(1+D24)</f>
        <v>0</v>
      </c>
      <c r="E23" s="3113">
        <f>D23*(1+E24)</f>
        <v>0</v>
      </c>
      <c r="F23" s="3114"/>
      <c r="G23" s="3115"/>
      <c r="H23" s="3026"/>
      <c r="I23" s="3027"/>
      <c r="J23" s="3478"/>
      <c r="K23" s="3480"/>
      <c r="L23" s="3061" t="s">
        <v>2897</v>
      </c>
      <c r="M23" s="3062"/>
      <c r="N23" s="3062"/>
      <c r="O23" s="3063"/>
      <c r="P23" s="3064">
        <v>365</v>
      </c>
      <c r="Q23" s="3038"/>
      <c r="R23" s="3104">
        <f>ROUND(M23*N23*O23*P23/10000,0)</f>
        <v>0</v>
      </c>
      <c r="S23" s="3019"/>
      <c r="T23" s="3019"/>
      <c r="U23" s="3019"/>
      <c r="V23" s="3027"/>
    </row>
    <row r="24" spans="1:22" s="3031" customFormat="1" ht="13.15" customHeight="1">
      <c r="A24" s="3116"/>
      <c r="B24" s="3117" t="s">
        <v>2898</v>
      </c>
      <c r="C24" s="3118"/>
      <c r="D24" s="3119"/>
      <c r="E24" s="3120"/>
      <c r="F24" s="3121"/>
      <c r="G24" s="3115"/>
      <c r="H24" s="3026"/>
      <c r="I24" s="3027"/>
      <c r="J24" s="3478"/>
      <c r="K24" s="3481"/>
      <c r="L24" s="3081" t="s">
        <v>2859</v>
      </c>
      <c r="M24" s="3082">
        <f>SUM(M21:M23)</f>
        <v>0</v>
      </c>
      <c r="N24" s="3082"/>
      <c r="O24" s="3083"/>
      <c r="P24" s="3096" t="s">
        <v>2923</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2899</v>
      </c>
      <c r="L25" s="3124"/>
      <c r="M25" s="3124"/>
      <c r="N25" s="3124"/>
      <c r="O25" s="3124"/>
      <c r="P25" s="3125"/>
      <c r="Q25" s="3126">
        <v>0</v>
      </c>
      <c r="R25" s="3097">
        <f>ROUND(R14*Q25,0)</f>
        <v>0</v>
      </c>
      <c r="S25" s="3019"/>
      <c r="T25" s="3019"/>
      <c r="U25" s="3019"/>
      <c r="V25" s="3127"/>
    </row>
    <row r="26" spans="1:22" s="3128" customFormat="1" ht="13.15" customHeight="1">
      <c r="A26" s="3109">
        <v>2</v>
      </c>
      <c r="B26" s="3110" t="s">
        <v>2900</v>
      </c>
      <c r="C26" s="3111">
        <f>D7</f>
        <v>0</v>
      </c>
      <c r="D26" s="3112">
        <f>D23*D27</f>
        <v>0</v>
      </c>
      <c r="E26" s="3113">
        <f>E23*E27</f>
        <v>0</v>
      </c>
      <c r="F26" s="3114"/>
      <c r="G26" s="3115"/>
      <c r="H26" s="3026"/>
      <c r="I26" s="3027"/>
      <c r="J26" s="3488">
        <v>5</v>
      </c>
      <c r="K26" s="3129" t="s">
        <v>2901</v>
      </c>
      <c r="L26" s="3130"/>
      <c r="M26" s="3131"/>
      <c r="N26" s="3132" t="s">
        <v>2902</v>
      </c>
      <c r="O26" s="3132" t="s">
        <v>2903</v>
      </c>
      <c r="P26" s="3133" t="s">
        <v>2904</v>
      </c>
      <c r="Q26" s="3133" t="s">
        <v>2905</v>
      </c>
      <c r="R26" s="3036" t="s">
        <v>2830</v>
      </c>
      <c r="S26" s="3134"/>
      <c r="T26" s="3134"/>
      <c r="U26" s="3134"/>
      <c r="V26" s="3127"/>
    </row>
    <row r="27" spans="1:22" s="3031" customFormat="1" ht="13.15" customHeight="1">
      <c r="A27" s="3116"/>
      <c r="B27" s="3117" t="s">
        <v>2906</v>
      </c>
      <c r="C27" s="3135" t="e">
        <f>E7</f>
        <v>#DIV/0!</v>
      </c>
      <c r="D27" s="3119"/>
      <c r="E27" s="3120"/>
      <c r="F27" s="3121"/>
      <c r="G27" s="3115"/>
      <c r="H27" s="3136"/>
      <c r="I27" s="3127"/>
      <c r="J27" s="3489"/>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2907</v>
      </c>
      <c r="F28" s="3121"/>
      <c r="G28" s="3108"/>
      <c r="H28" s="3136"/>
      <c r="I28" s="3127"/>
      <c r="J28" s="3142">
        <v>6</v>
      </c>
      <c r="K28" s="3143" t="s">
        <v>2908</v>
      </c>
      <c r="L28" s="3144" t="s">
        <v>2909</v>
      </c>
      <c r="M28" s="3145"/>
      <c r="N28" s="3144" t="s">
        <v>2910</v>
      </c>
      <c r="O28" s="3146"/>
      <c r="P28" s="3144" t="s">
        <v>2911</v>
      </c>
      <c r="Q28" s="3147">
        <v>1.4999999999999999E-2</v>
      </c>
      <c r="R28" s="3148"/>
      <c r="S28" s="3100"/>
      <c r="T28" s="3100"/>
      <c r="U28" s="3100"/>
      <c r="V28" s="3127"/>
    </row>
    <row r="29" spans="1:22" s="3128" customFormat="1" ht="13.15" customHeight="1">
      <c r="A29" s="3109">
        <v>3</v>
      </c>
      <c r="B29" s="3110" t="s">
        <v>2912</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2906</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2913</v>
      </c>
      <c r="K31" s="3017"/>
      <c r="L31" s="3017"/>
      <c r="M31" s="3017"/>
      <c r="N31" s="3017"/>
      <c r="O31" s="3017"/>
      <c r="P31" s="3017"/>
      <c r="Q31" s="3017"/>
      <c r="R31" s="3018"/>
      <c r="S31" s="3100"/>
      <c r="T31" s="3019"/>
      <c r="U31" s="3019"/>
      <c r="V31" s="3127"/>
    </row>
    <row r="32" spans="1:22" s="3128" customFormat="1" ht="13.15" customHeight="1">
      <c r="A32" s="3109">
        <v>4</v>
      </c>
      <c r="B32" s="3110" t="s">
        <v>2914</v>
      </c>
      <c r="C32" s="3111">
        <f>C23-C26-C29</f>
        <v>0</v>
      </c>
      <c r="D32" s="3112">
        <f>D23-D26-D29</f>
        <v>0</v>
      </c>
      <c r="E32" s="3113">
        <f>E23-E26-E29</f>
        <v>0</v>
      </c>
      <c r="F32" s="3114"/>
      <c r="G32" s="3108"/>
      <c r="H32" s="3026"/>
      <c r="I32" s="3027"/>
      <c r="J32" s="3471" t="s">
        <v>2806</v>
      </c>
      <c r="K32" s="3472"/>
      <c r="L32" s="3028" t="s">
        <v>2807</v>
      </c>
      <c r="M32" s="3028" t="s">
        <v>2808</v>
      </c>
      <c r="N32" s="3028" t="s">
        <v>2809</v>
      </c>
      <c r="O32" s="3028" t="s">
        <v>2810</v>
      </c>
      <c r="P32" s="3028" t="s">
        <v>2811</v>
      </c>
      <c r="Q32" s="3029" t="s">
        <v>2812</v>
      </c>
      <c r="R32" s="3151" t="s">
        <v>2813</v>
      </c>
      <c r="S32" s="3100"/>
      <c r="T32" s="3019"/>
      <c r="U32" s="3019"/>
      <c r="V32" s="3127"/>
    </row>
    <row r="33" spans="1:23" s="3031" customFormat="1" ht="13.15" customHeight="1">
      <c r="A33" s="3109"/>
      <c r="B33" s="3110"/>
      <c r="C33" s="3111"/>
      <c r="D33" s="3152"/>
      <c r="E33" s="3153"/>
      <c r="F33" s="3114"/>
      <c r="G33" s="3108"/>
      <c r="H33" s="3136"/>
      <c r="I33" s="3127"/>
      <c r="J33" s="3473" t="s">
        <v>2816</v>
      </c>
      <c r="K33" s="3474"/>
      <c r="L33" s="3034"/>
      <c r="M33" s="3034"/>
      <c r="N33" s="3034"/>
      <c r="O33" s="3034"/>
      <c r="P33" s="3034"/>
      <c r="Q33" s="3035"/>
      <c r="R33" s="3154">
        <f>SUM(L33:Q33)</f>
        <v>0</v>
      </c>
      <c r="S33" s="3100"/>
      <c r="T33" s="3019"/>
      <c r="U33" s="3019"/>
      <c r="V33" s="3027"/>
    </row>
    <row r="34" spans="1:23" s="3031" customFormat="1" ht="13.15" customHeight="1">
      <c r="A34" s="3109">
        <v>5</v>
      </c>
      <c r="B34" s="3110" t="s">
        <v>2915</v>
      </c>
      <c r="C34" s="3155"/>
      <c r="D34" s="3156"/>
      <c r="E34" s="3157"/>
      <c r="F34" s="3114"/>
      <c r="G34" s="3108"/>
      <c r="H34" s="3136"/>
      <c r="I34" s="3127"/>
      <c r="J34" s="3473" t="s">
        <v>2818</v>
      </c>
      <c r="K34" s="3474"/>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2916</v>
      </c>
      <c r="C35" s="3159"/>
      <c r="D35" s="3160"/>
      <c r="E35" s="3161"/>
      <c r="F35" s="3114"/>
      <c r="G35" s="3162"/>
      <c r="H35" s="3026"/>
      <c r="I35" s="3127"/>
      <c r="J35" s="3045" t="s">
        <v>2820</v>
      </c>
      <c r="K35" s="3046"/>
      <c r="L35" s="3046"/>
      <c r="M35" s="3047"/>
      <c r="N35" s="3047"/>
      <c r="O35" s="3047"/>
      <c r="P35" s="3047"/>
      <c r="Q35" s="3047"/>
      <c r="R35" s="3163">
        <f>R40+R41+R43</f>
        <v>0</v>
      </c>
      <c r="S35" s="3100"/>
      <c r="T35" s="3019" t="s">
        <v>2821</v>
      </c>
      <c r="U35" s="3019"/>
      <c r="V35" s="3027"/>
    </row>
    <row r="36" spans="1:23" s="3031" customFormat="1" ht="13.15" customHeight="1" thickBot="1">
      <c r="A36" s="3109">
        <v>7</v>
      </c>
      <c r="B36" s="3164" t="s">
        <v>2917</v>
      </c>
      <c r="C36" s="3165"/>
      <c r="D36" s="3166"/>
      <c r="E36" s="3167"/>
      <c r="F36" s="3168">
        <f>C36+D36+E36</f>
        <v>0</v>
      </c>
      <c r="G36" s="3108"/>
      <c r="H36" s="3026"/>
      <c r="I36" s="3027"/>
      <c r="J36" s="3478">
        <v>1</v>
      </c>
      <c r="K36" s="3479" t="s">
        <v>2918</v>
      </c>
      <c r="L36" s="3052"/>
      <c r="M36" s="3053"/>
      <c r="N36" s="3053"/>
      <c r="O36" s="3053"/>
      <c r="P36" s="3053"/>
      <c r="Q36" s="3053"/>
      <c r="R36" s="3036" t="s">
        <v>2830</v>
      </c>
      <c r="S36" s="3100"/>
      <c r="T36" s="3019" t="s">
        <v>2831</v>
      </c>
      <c r="U36" s="3019"/>
      <c r="V36" s="3027"/>
    </row>
    <row r="37" spans="1:23" s="3031" customFormat="1" ht="13.15" customHeight="1">
      <c r="A37" s="3109"/>
      <c r="B37" s="3110"/>
      <c r="C37" s="3110"/>
      <c r="D37" s="3110"/>
      <c r="E37" s="3110"/>
      <c r="F37" s="3114"/>
      <c r="G37" s="3108"/>
      <c r="H37" s="3026"/>
      <c r="I37" s="3027"/>
      <c r="J37" s="3478"/>
      <c r="K37" s="3480"/>
      <c r="L37" s="3061"/>
      <c r="M37" s="3062"/>
      <c r="N37" s="3038"/>
      <c r="O37" s="3063"/>
      <c r="P37" s="3063"/>
      <c r="Q37" s="3064"/>
      <c r="R37" s="3065"/>
      <c r="S37" s="3100"/>
      <c r="T37" s="3019" t="s">
        <v>2834</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78"/>
      <c r="K38" s="3480"/>
      <c r="L38" s="3061"/>
      <c r="M38" s="3062"/>
      <c r="N38" s="3038"/>
      <c r="O38" s="3063"/>
      <c r="P38" s="3063"/>
      <c r="Q38" s="3064"/>
      <c r="R38" s="3065"/>
      <c r="S38" s="3100"/>
      <c r="T38" s="3019" t="s">
        <v>2841</v>
      </c>
      <c r="U38" s="3019"/>
      <c r="V38" s="3027"/>
    </row>
    <row r="39" spans="1:23" s="3031" customFormat="1" ht="13.15" customHeight="1">
      <c r="A39" s="3109">
        <v>9</v>
      </c>
      <c r="B39" s="3110" t="s">
        <v>2919</v>
      </c>
      <c r="C39" s="3075" t="e">
        <f>C38</f>
        <v>#DIV/0!</v>
      </c>
      <c r="D39" s="3110">
        <f>D38/(1+D34)^C36</f>
        <v>0</v>
      </c>
      <c r="E39" s="3110">
        <f>E38/(1+E34)^(C36+D36)</f>
        <v>0</v>
      </c>
      <c r="F39" s="3114"/>
      <c r="G39" s="3169"/>
      <c r="H39" s="3026"/>
      <c r="I39" s="3027"/>
      <c r="J39" s="3478"/>
      <c r="K39" s="3480"/>
      <c r="L39" s="3061"/>
      <c r="M39" s="3062"/>
      <c r="N39" s="3038"/>
      <c r="O39" s="3063"/>
      <c r="P39" s="3063"/>
      <c r="Q39" s="3064"/>
      <c r="R39" s="3065"/>
      <c r="S39" s="3100"/>
      <c r="T39" s="3019"/>
      <c r="U39" s="3019"/>
      <c r="V39" s="3027"/>
    </row>
    <row r="40" spans="1:23" s="3031" customFormat="1" ht="13.15" customHeight="1">
      <c r="A40" s="3170">
        <v>10</v>
      </c>
      <c r="B40" s="3110" t="s">
        <v>2920</v>
      </c>
      <c r="C40" s="3171" t="e">
        <f>C39+D39+E39</f>
        <v>#DIV/0!</v>
      </c>
      <c r="D40" s="3172"/>
      <c r="E40" s="3172"/>
      <c r="F40" s="3173"/>
      <c r="G40" s="3108"/>
      <c r="H40" s="3026"/>
      <c r="I40" s="3027"/>
      <c r="J40" s="3478"/>
      <c r="K40" s="3481"/>
      <c r="L40" s="3081" t="s">
        <v>2859</v>
      </c>
      <c r="M40" s="3082"/>
      <c r="N40" s="3082"/>
      <c r="O40" s="3083"/>
      <c r="P40" s="3083"/>
      <c r="Q40" s="3084"/>
      <c r="R40" s="3030">
        <f>SUM(R37:R39)</f>
        <v>0</v>
      </c>
      <c r="S40" s="3100"/>
      <c r="T40" s="3019"/>
      <c r="U40" s="3019"/>
      <c r="V40" s="3027"/>
    </row>
    <row r="41" spans="1:23" s="3031" customFormat="1" ht="13.15" customHeight="1" thickBot="1">
      <c r="A41" s="3174">
        <v>11</v>
      </c>
      <c r="B41" s="3175" t="s">
        <v>2921</v>
      </c>
      <c r="C41" s="3175" t="e">
        <f>ROUND(C40*10000/B4,0)</f>
        <v>#DIV/0!</v>
      </c>
      <c r="D41" s="3176"/>
      <c r="E41" s="3176"/>
      <c r="F41" s="3177"/>
      <c r="G41" s="3178"/>
      <c r="H41" s="3026"/>
      <c r="I41" s="3027"/>
      <c r="J41" s="3122">
        <v>2</v>
      </c>
      <c r="K41" s="3123" t="s">
        <v>2899</v>
      </c>
      <c r="L41" s="3124"/>
      <c r="M41" s="3124"/>
      <c r="N41" s="3124"/>
      <c r="O41" s="3124"/>
      <c r="P41" s="3125"/>
      <c r="Q41" s="3126"/>
      <c r="R41" s="3097">
        <f>ROUND(R40*Q41,0)</f>
        <v>0</v>
      </c>
      <c r="S41" s="3100"/>
      <c r="T41" s="3019"/>
      <c r="U41" s="3134"/>
      <c r="V41" s="3027"/>
    </row>
    <row r="42" spans="1:23" s="3031" customFormat="1" ht="13.15" customHeight="1">
      <c r="G42" s="3178"/>
      <c r="H42" s="3026"/>
      <c r="I42" s="3027"/>
      <c r="J42" s="3488">
        <v>3</v>
      </c>
      <c r="K42" s="3129" t="s">
        <v>2901</v>
      </c>
      <c r="L42" s="3130"/>
      <c r="M42" s="3131"/>
      <c r="N42" s="3132" t="s">
        <v>2902</v>
      </c>
      <c r="O42" s="3132" t="s">
        <v>2903</v>
      </c>
      <c r="P42" s="3133" t="s">
        <v>2904</v>
      </c>
      <c r="Q42" s="3133" t="s">
        <v>2905</v>
      </c>
      <c r="R42" s="3036" t="s">
        <v>2830</v>
      </c>
      <c r="S42" s="3134"/>
      <c r="T42" s="3134"/>
      <c r="U42" s="3019"/>
      <c r="V42" s="3027"/>
    </row>
    <row r="43" spans="1:23" ht="13.15" customHeight="1">
      <c r="A43" s="3031"/>
      <c r="B43" s="3031"/>
      <c r="C43" s="3031"/>
      <c r="D43" s="3031"/>
      <c r="E43" s="3031"/>
      <c r="F43" s="3031"/>
      <c r="I43" s="3014"/>
      <c r="J43" s="3489"/>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2908</v>
      </c>
      <c r="L44" s="3182" t="s">
        <v>2909</v>
      </c>
      <c r="M44" s="3145"/>
      <c r="N44" s="3182" t="s">
        <v>2910</v>
      </c>
      <c r="O44" s="3145"/>
      <c r="P44" s="3182" t="s">
        <v>2911</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S1"/>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2101</v>
      </c>
      <c r="B1" s="2004"/>
      <c r="C1" s="2004"/>
      <c r="D1" s="2004"/>
      <c r="E1" s="2005"/>
      <c r="F1" s="2883"/>
      <c r="G1" s="1625"/>
      <c r="H1" s="1625"/>
      <c r="I1" s="1625"/>
      <c r="J1" s="1625"/>
      <c r="K1" s="1625"/>
      <c r="L1" s="1625"/>
      <c r="M1" s="1625"/>
      <c r="N1" s="1625"/>
      <c r="O1" s="1625"/>
      <c r="P1" s="1625"/>
      <c r="Q1" s="1625"/>
      <c r="R1" s="1625"/>
      <c r="S1" s="1625"/>
    </row>
    <row r="2" spans="1:22" ht="15.75">
      <c r="A2" s="2006" t="s">
        <v>1903</v>
      </c>
      <c r="B2" s="2007">
        <f ca="1">SUMIF(B6:B13,"&lt;&gt;#ref!",B6:B13)</f>
        <v>170672</v>
      </c>
      <c r="C2" s="2008" t="s">
        <v>2094</v>
      </c>
      <c r="D2" s="2009" t="s">
        <v>2095</v>
      </c>
      <c r="E2" s="2780">
        <f>SUM(E6:E13)</f>
        <v>58300.299999999996</v>
      </c>
      <c r="F2" s="2883"/>
      <c r="G2" s="1625"/>
      <c r="H2" s="1625"/>
      <c r="I2" s="1625"/>
      <c r="J2" s="1625"/>
      <c r="K2" s="1625"/>
      <c r="L2" s="1625"/>
      <c r="M2" s="1625"/>
      <c r="N2" s="1625"/>
      <c r="O2" s="1625"/>
      <c r="P2" s="1625"/>
      <c r="Q2" s="1625"/>
      <c r="R2" s="1625"/>
      <c r="S2" s="1625"/>
    </row>
    <row r="3" spans="1:22" ht="15.75">
      <c r="A3" s="2006" t="s">
        <v>1115</v>
      </c>
      <c r="B3" s="2774">
        <f ca="1">ROUND(B2*10000/E2,0)</f>
        <v>29275</v>
      </c>
      <c r="C3" s="2008" t="s">
        <v>2102</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2096</v>
      </c>
      <c r="B5" s="3490" t="s">
        <v>2097</v>
      </c>
      <c r="C5" s="3491"/>
      <c r="D5" s="2884"/>
      <c r="E5" s="2010" t="s">
        <v>2098</v>
      </c>
      <c r="F5" s="2011" t="s">
        <v>2099</v>
      </c>
      <c r="G5" s="1625"/>
      <c r="H5" s="1625"/>
      <c r="I5" s="1625"/>
      <c r="J5" s="1625"/>
      <c r="K5" s="1625"/>
      <c r="L5" s="1625"/>
      <c r="M5" s="1625"/>
      <c r="N5" s="1625"/>
      <c r="O5" s="1625"/>
      <c r="P5" s="1625"/>
      <c r="Q5" s="1625"/>
      <c r="R5" s="1625"/>
      <c r="S5" s="1625"/>
    </row>
    <row r="6" spans="1:22">
      <c r="A6" s="2777" t="str">
        <f>'数据-取费表'!AN6</f>
        <v>收益法</v>
      </c>
      <c r="B6" s="2775">
        <f ca="1">IF(F6="是",'数据-取费表'!AO6,0)</f>
        <v>170672</v>
      </c>
      <c r="C6" s="2008" t="s">
        <v>2094</v>
      </c>
      <c r="D6" s="2885"/>
      <c r="E6" s="2779">
        <f>IF(OR(A6=0,F6="否"),0,'数据-取费表'!K6+'数据-取费表'!S6)</f>
        <v>58300.299999999996</v>
      </c>
      <c r="F6" s="2012" t="s">
        <v>2100</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8" t="s">
        <v>2094</v>
      </c>
      <c r="D7" s="2885"/>
      <c r="E7" s="2779">
        <f>IF(OR(A7=0,F7="否"),0,'数据-取费表'!K7+'数据-取费表'!S7)</f>
        <v>0</v>
      </c>
      <c r="F7" s="2012" t="s">
        <v>2100</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8" t="s">
        <v>2094</v>
      </c>
      <c r="D8" s="2885"/>
      <c r="E8" s="2779">
        <f>IF(OR(A8=0,F8="否"),0,'数据-取费表'!K8+'数据-取费表'!S8)</f>
        <v>0</v>
      </c>
      <c r="F8" s="2012" t="s">
        <v>2100</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8" t="s">
        <v>2094</v>
      </c>
      <c r="D9" s="2885"/>
      <c r="E9" s="2779">
        <f>IF(OR(A9=0,F9="否"),0,'数据-取费表'!K9+'数据-取费表'!S9)</f>
        <v>0</v>
      </c>
      <c r="F9" s="2012" t="s">
        <v>2100</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8" t="s">
        <v>2094</v>
      </c>
      <c r="D10" s="2885"/>
      <c r="E10" s="2779">
        <f>IF(OR(A10=0,F10="否"),0,'数据-取费表'!K10+'数据-取费表'!S10)</f>
        <v>0</v>
      </c>
      <c r="F10" s="2012" t="s">
        <v>2100</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8" t="s">
        <v>2094</v>
      </c>
      <c r="D11" s="2885"/>
      <c r="E11" s="2779">
        <f>IF(OR(A11=0,F11="否"),0,'数据-取费表'!K11+'数据-取费表'!S11)</f>
        <v>0</v>
      </c>
      <c r="F11" s="2012" t="s">
        <v>2100</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8" t="s">
        <v>2094</v>
      </c>
      <c r="D12" s="2885"/>
      <c r="E12" s="2779">
        <f>IF(OR(A12=0,F12="否"),0,'数据-取费表'!K12+'数据-取费表'!S12)</f>
        <v>0</v>
      </c>
      <c r="F12" s="2012" t="s">
        <v>2100</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3" t="s">
        <v>2094</v>
      </c>
      <c r="D13" s="2886"/>
      <c r="E13" s="2779">
        <f>IF(OR(A13=0,F13="否"),0,'数据-取费表'!K13+'数据-取费表'!S13)</f>
        <v>0</v>
      </c>
      <c r="F13" s="2012" t="s">
        <v>2100</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2104</v>
      </c>
      <c r="C1" s="1359" t="s">
        <v>2105</v>
      </c>
      <c r="D1" s="1346"/>
      <c r="E1" s="2494"/>
      <c r="F1" s="2015" t="s">
        <v>2106</v>
      </c>
      <c r="G1" s="1356" t="s">
        <v>2107</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1114</v>
      </c>
      <c r="B2" s="1279" t="e">
        <f ca="1">IF(C2="——",ROUND(C49*D3/10000,0),ROUND(C49*D3/10000,0)-D2)</f>
        <v>#DIV/0!</v>
      </c>
      <c r="C2" s="2017"/>
      <c r="D2" s="1228" t="e">
        <f ca="1">SUMIF(INDIRECT("'"&amp;F2&amp;"'"&amp;"!A:A"),"承租人权益价值",INDIRECT("'"&amp;F2&amp;"'"&amp;"!c:c"))</f>
        <v>#REF!</v>
      </c>
      <c r="E2" s="2018" t="s">
        <v>2108</v>
      </c>
      <c r="F2" s="2019"/>
      <c r="G2" s="1019"/>
      <c r="H2" s="1019"/>
      <c r="I2" s="1019"/>
      <c r="J2" s="1019"/>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1115</v>
      </c>
      <c r="B3" s="359" t="e">
        <f ca="1">IF(C2="——",C49,ROUND(B2*10000/D3,0))</f>
        <v>#DIV/0!</v>
      </c>
      <c r="C3" s="360" t="s">
        <v>2109</v>
      </c>
      <c r="D3" s="359">
        <f>IF(D1="",'数据-汇总表'!E3,SUMIF('数据-汇总表'!$C19:$C33,D1,'数据-汇总表'!$E19:$E33))</f>
        <v>58300.299999999996</v>
      </c>
      <c r="E3" s="1019"/>
      <c r="F3" s="2024"/>
      <c r="G3" s="1019"/>
      <c r="H3" s="1019"/>
      <c r="I3" s="1019"/>
      <c r="J3" s="1019"/>
      <c r="K3" s="2020"/>
      <c r="L3" s="2889"/>
      <c r="M3" s="2890"/>
      <c r="N3" s="2890"/>
      <c r="O3" s="2890"/>
      <c r="P3" s="2021"/>
      <c r="Q3" s="2022"/>
      <c r="R3" s="2022"/>
      <c r="S3" s="2022"/>
      <c r="T3" s="2022"/>
      <c r="U3" s="2022"/>
      <c r="V3" s="2022"/>
      <c r="W3" s="2022"/>
      <c r="X3" s="2022"/>
      <c r="Y3" s="2022"/>
      <c r="Z3" s="2022"/>
      <c r="AA3" s="2022"/>
      <c r="AB3" s="2022"/>
      <c r="AC3" s="1173"/>
    </row>
    <row r="4" spans="1:29" ht="15">
      <c r="A4" s="361" t="s">
        <v>2110</v>
      </c>
      <c r="B4" s="362"/>
      <c r="C4" s="3510" t="s">
        <v>2111</v>
      </c>
      <c r="D4" s="3511"/>
      <c r="E4" s="3512" t="s">
        <v>2112</v>
      </c>
      <c r="F4" s="3513"/>
      <c r="G4" s="3510" t="s">
        <v>2113</v>
      </c>
      <c r="H4" s="3511"/>
      <c r="I4" s="3510" t="s">
        <v>2114</v>
      </c>
      <c r="J4" s="3511"/>
      <c r="K4" s="2025" t="s">
        <v>2115</v>
      </c>
      <c r="L4" s="2891"/>
      <c r="M4" s="2892"/>
      <c r="N4" s="2892"/>
      <c r="O4" s="2892"/>
      <c r="P4" s="3514" t="s">
        <v>2116</v>
      </c>
      <c r="Q4" s="3515"/>
      <c r="R4" s="3497" t="s">
        <v>2112</v>
      </c>
      <c r="S4" s="3498"/>
      <c r="T4" s="3497" t="s">
        <v>2113</v>
      </c>
      <c r="U4" s="3498"/>
      <c r="V4" s="3522" t="s">
        <v>2114</v>
      </c>
      <c r="W4" s="3522"/>
      <c r="X4" s="1490"/>
      <c r="Y4" s="3497" t="s">
        <v>2116</v>
      </c>
      <c r="Z4" s="3498"/>
      <c r="AA4" s="3492" t="s">
        <v>2112</v>
      </c>
      <c r="AB4" s="3492" t="s">
        <v>2113</v>
      </c>
      <c r="AC4" s="3492" t="s">
        <v>2114</v>
      </c>
    </row>
    <row r="5" spans="1:29" ht="15">
      <c r="A5" s="364"/>
      <c r="B5" s="365"/>
      <c r="C5" s="3503" t="s">
        <v>2117</v>
      </c>
      <c r="D5" s="3504"/>
      <c r="E5" s="3501" t="s">
        <v>2118</v>
      </c>
      <c r="F5" s="3502"/>
      <c r="G5" s="3503" t="s">
        <v>2119</v>
      </c>
      <c r="H5" s="3504"/>
      <c r="I5" s="3503" t="s">
        <v>2120</v>
      </c>
      <c r="J5" s="3504"/>
      <c r="K5" s="2026"/>
      <c r="L5" s="2891"/>
      <c r="M5" s="2892"/>
      <c r="N5" s="2892"/>
      <c r="O5" s="2892"/>
      <c r="P5" s="3516"/>
      <c r="Q5" s="3517"/>
      <c r="R5" s="3499"/>
      <c r="S5" s="3500"/>
      <c r="T5" s="3499"/>
      <c r="U5" s="3500"/>
      <c r="V5" s="3522"/>
      <c r="W5" s="3522"/>
      <c r="X5" s="1490"/>
      <c r="Y5" s="3499"/>
      <c r="Z5" s="3500"/>
      <c r="AA5" s="3493"/>
      <c r="AB5" s="3493"/>
      <c r="AC5" s="3493"/>
    </row>
    <row r="6" spans="1:29" ht="15.75" thickBot="1">
      <c r="A6" s="366"/>
      <c r="B6" s="367"/>
      <c r="C6" s="3505" t="s">
        <v>2121</v>
      </c>
      <c r="D6" s="3506"/>
      <c r="E6" s="3507" t="s">
        <v>2121</v>
      </c>
      <c r="F6" s="3508"/>
      <c r="G6" s="3505" t="s">
        <v>2121</v>
      </c>
      <c r="H6" s="3506"/>
      <c r="I6" s="3505" t="s">
        <v>2121</v>
      </c>
      <c r="J6" s="3506"/>
      <c r="K6" s="2026" t="s">
        <v>2122</v>
      </c>
      <c r="L6" s="2891"/>
      <c r="M6" s="2892"/>
      <c r="N6" s="2892"/>
      <c r="O6" s="2892"/>
      <c r="P6" s="3518"/>
      <c r="Q6" s="3519"/>
      <c r="R6" s="3499"/>
      <c r="S6" s="3500"/>
      <c r="T6" s="3520"/>
      <c r="U6" s="3521"/>
      <c r="V6" s="3522"/>
      <c r="W6" s="3522"/>
      <c r="X6" s="1490"/>
      <c r="Y6" s="3520"/>
      <c r="Z6" s="3521"/>
      <c r="AA6" s="3494"/>
      <c r="AB6" s="3494"/>
      <c r="AC6" s="3494"/>
    </row>
    <row r="7" spans="1:29" s="113" customFormat="1" ht="15.75" thickBot="1">
      <c r="A7" s="368" t="s">
        <v>2123</v>
      </c>
      <c r="B7" s="369"/>
      <c r="C7" s="370">
        <f>'数据-取费表'!B2</f>
        <v>44742</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495" t="s">
        <v>2124</v>
      </c>
      <c r="Q7" s="3523"/>
      <c r="R7" s="710" t="s">
        <v>23</v>
      </c>
      <c r="S7" s="711">
        <f t="shared" ref="S7:S15" si="0">F7</f>
        <v>0</v>
      </c>
      <c r="T7" s="710" t="s">
        <v>23</v>
      </c>
      <c r="U7" s="711">
        <f t="shared" ref="U7:U15" si="1">H7</f>
        <v>0</v>
      </c>
      <c r="V7" s="710" t="s">
        <v>23</v>
      </c>
      <c r="W7" s="711">
        <f t="shared" ref="W7:W15" si="2">J7</f>
        <v>0</v>
      </c>
      <c r="X7" s="712"/>
      <c r="Y7" s="3495" t="s">
        <v>2124</v>
      </c>
      <c r="Z7" s="3496"/>
      <c r="AA7" s="713" t="e">
        <f>D7/F7</f>
        <v>#DIV/0!</v>
      </c>
      <c r="AB7" s="713" t="e">
        <f>D7/H7</f>
        <v>#DIV/0!</v>
      </c>
      <c r="AC7" s="713" t="e">
        <f>D7/J7</f>
        <v>#DIV/0!</v>
      </c>
    </row>
    <row r="8" spans="1:29" s="113" customFormat="1" ht="15.75" thickBot="1">
      <c r="A8" s="368" t="s">
        <v>2125</v>
      </c>
      <c r="B8" s="369"/>
      <c r="C8" s="374" t="s">
        <v>2126</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495" t="s">
        <v>2127</v>
      </c>
      <c r="Q8" s="3496"/>
      <c r="R8" s="710" t="s">
        <v>23</v>
      </c>
      <c r="S8" s="711">
        <f t="shared" si="0"/>
        <v>0</v>
      </c>
      <c r="T8" s="710" t="s">
        <v>23</v>
      </c>
      <c r="U8" s="711">
        <f t="shared" si="1"/>
        <v>0</v>
      </c>
      <c r="V8" s="710" t="s">
        <v>23</v>
      </c>
      <c r="W8" s="711">
        <f t="shared" si="2"/>
        <v>0</v>
      </c>
      <c r="X8" s="712"/>
      <c r="Y8" s="3495" t="s">
        <v>2127</v>
      </c>
      <c r="Z8" s="3496"/>
      <c r="AA8" s="713" t="e">
        <f t="shared" ref="AA8:AA19" si="3">D8/F8</f>
        <v>#DIV/0!</v>
      </c>
      <c r="AB8" s="713" t="e">
        <f t="shared" ref="AB8:AB19" si="4">D8/H8</f>
        <v>#DIV/0!</v>
      </c>
      <c r="AC8" s="713" t="e">
        <f t="shared" ref="AC8:AC19" si="5">D8/J8</f>
        <v>#DIV/0!</v>
      </c>
    </row>
    <row r="9" spans="1:29" s="113" customFormat="1">
      <c r="A9" s="375" t="s">
        <v>2128</v>
      </c>
      <c r="B9" s="67" t="s">
        <v>2129</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509" t="s">
        <v>2130</v>
      </c>
      <c r="Q9" s="1478" t="str">
        <f t="shared" ref="Q9:Q15" si="6">B9</f>
        <v>用途</v>
      </c>
      <c r="R9" s="710" t="s">
        <v>17</v>
      </c>
      <c r="S9" s="711">
        <f t="shared" si="0"/>
        <v>100</v>
      </c>
      <c r="T9" s="710" t="s">
        <v>17</v>
      </c>
      <c r="U9" s="711">
        <f t="shared" si="1"/>
        <v>100</v>
      </c>
      <c r="V9" s="710" t="s">
        <v>17</v>
      </c>
      <c r="W9" s="711">
        <f t="shared" si="2"/>
        <v>100</v>
      </c>
      <c r="X9" s="712"/>
      <c r="Y9" s="3439"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509"/>
      <c r="Q10" s="1478" t="str">
        <f t="shared" si="6"/>
        <v>土地使用年限（年）</v>
      </c>
      <c r="R10" s="710" t="s">
        <v>17</v>
      </c>
      <c r="S10" s="711">
        <f t="shared" si="0"/>
        <v>100</v>
      </c>
      <c r="T10" s="710" t="s">
        <v>17</v>
      </c>
      <c r="U10" s="711">
        <f t="shared" si="1"/>
        <v>100</v>
      </c>
      <c r="V10" s="710" t="s">
        <v>17</v>
      </c>
      <c r="W10" s="711">
        <f t="shared" si="2"/>
        <v>100</v>
      </c>
      <c r="X10" s="712"/>
      <c r="Y10" s="3439"/>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509"/>
      <c r="Q11" s="1478" t="str">
        <f t="shared" si="6"/>
        <v>容积率</v>
      </c>
      <c r="R11" s="710" t="s">
        <v>21</v>
      </c>
      <c r="S11" s="711" t="e">
        <f t="shared" si="0"/>
        <v>#N/A</v>
      </c>
      <c r="T11" s="710" t="s">
        <v>21</v>
      </c>
      <c r="U11" s="711" t="e">
        <f t="shared" si="1"/>
        <v>#N/A</v>
      </c>
      <c r="V11" s="710" t="s">
        <v>21</v>
      </c>
      <c r="W11" s="711" t="e">
        <f t="shared" si="2"/>
        <v>#N/A</v>
      </c>
      <c r="X11" s="712"/>
      <c r="Y11" s="3439"/>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509"/>
      <c r="Q12" s="1478">
        <f t="shared" si="6"/>
        <v>111</v>
      </c>
      <c r="R12" s="710" t="s">
        <v>21</v>
      </c>
      <c r="S12" s="711">
        <f t="shared" si="0"/>
        <v>100</v>
      </c>
      <c r="T12" s="710" t="s">
        <v>21</v>
      </c>
      <c r="U12" s="711">
        <f t="shared" si="1"/>
        <v>100</v>
      </c>
      <c r="V12" s="710" t="s">
        <v>21</v>
      </c>
      <c r="W12" s="711">
        <f t="shared" si="2"/>
        <v>100</v>
      </c>
      <c r="X12" s="712"/>
      <c r="Y12" s="3439"/>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509"/>
      <c r="Q13" s="1478">
        <f t="shared" si="6"/>
        <v>111</v>
      </c>
      <c r="R13" s="710" t="s">
        <v>21</v>
      </c>
      <c r="S13" s="711">
        <f t="shared" si="0"/>
        <v>100</v>
      </c>
      <c r="T13" s="710" t="s">
        <v>21</v>
      </c>
      <c r="U13" s="711">
        <f t="shared" si="1"/>
        <v>100</v>
      </c>
      <c r="V13" s="710" t="s">
        <v>21</v>
      </c>
      <c r="W13" s="711">
        <f t="shared" si="2"/>
        <v>100</v>
      </c>
      <c r="X13" s="712"/>
      <c r="Y13" s="3439"/>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509"/>
      <c r="Q14" s="1478">
        <f t="shared" si="6"/>
        <v>111</v>
      </c>
      <c r="R14" s="710" t="s">
        <v>21</v>
      </c>
      <c r="S14" s="711">
        <f t="shared" si="0"/>
        <v>100</v>
      </c>
      <c r="T14" s="710" t="s">
        <v>21</v>
      </c>
      <c r="U14" s="711">
        <f t="shared" si="1"/>
        <v>100</v>
      </c>
      <c r="V14" s="710" t="s">
        <v>21</v>
      </c>
      <c r="W14" s="711">
        <f t="shared" si="2"/>
        <v>100</v>
      </c>
      <c r="X14" s="712"/>
      <c r="Y14" s="3439"/>
      <c r="Z14" s="55">
        <f t="shared" si="7"/>
        <v>111</v>
      </c>
      <c r="AA14" s="713">
        <f t="shared" si="3"/>
        <v>1</v>
      </c>
      <c r="AB14" s="713">
        <f t="shared" si="4"/>
        <v>1</v>
      </c>
      <c r="AC14" s="713">
        <f t="shared" si="5"/>
        <v>1</v>
      </c>
    </row>
    <row r="15" spans="1:29" ht="15">
      <c r="A15" s="399" t="s">
        <v>2134</v>
      </c>
      <c r="B15" s="65" t="s">
        <v>1698</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36" t="s">
        <v>2135</v>
      </c>
      <c r="Q15" s="1487" t="str">
        <f t="shared" si="6"/>
        <v>居住社区成熟度</v>
      </c>
      <c r="R15" s="714" t="s">
        <v>21</v>
      </c>
      <c r="S15" s="715">
        <f t="shared" si="0"/>
        <v>100</v>
      </c>
      <c r="T15" s="714" t="s">
        <v>21</v>
      </c>
      <c r="U15" s="715">
        <f t="shared" si="1"/>
        <v>100</v>
      </c>
      <c r="V15" s="714" t="s">
        <v>21</v>
      </c>
      <c r="W15" s="715">
        <f t="shared" si="2"/>
        <v>100</v>
      </c>
      <c r="X15" s="1490"/>
      <c r="Y15" s="3529" t="s">
        <v>2135</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8"/>
      <c r="M16" s="2892"/>
      <c r="N16" s="2892"/>
      <c r="O16" s="2892"/>
      <c r="P16" s="3537"/>
      <c r="Q16" s="1487"/>
      <c r="R16" s="714"/>
      <c r="S16" s="715"/>
      <c r="T16" s="714"/>
      <c r="U16" s="715"/>
      <c r="V16" s="714"/>
      <c r="W16" s="715"/>
      <c r="X16" s="1490"/>
      <c r="Y16" s="3530"/>
      <c r="Z16" s="1491"/>
      <c r="AA16" s="1488">
        <v>1</v>
      </c>
      <c r="AB16" s="1488">
        <v>1</v>
      </c>
      <c r="AC16" s="1488">
        <v>1</v>
      </c>
    </row>
    <row r="17" spans="1:29" ht="15">
      <c r="A17" s="387"/>
      <c r="B17" s="410" t="s">
        <v>1700</v>
      </c>
      <c r="C17" s="2036"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37"/>
      <c r="Q17" s="1487" t="str">
        <f>B17</f>
        <v>交通便捷度</v>
      </c>
      <c r="R17" s="714" t="s">
        <v>21</v>
      </c>
      <c r="S17" s="715">
        <f>F17</f>
        <v>100</v>
      </c>
      <c r="T17" s="714" t="s">
        <v>21</v>
      </c>
      <c r="U17" s="715">
        <f>H17</f>
        <v>100</v>
      </c>
      <c r="V17" s="714" t="s">
        <v>21</v>
      </c>
      <c r="W17" s="715">
        <f>J17</f>
        <v>100</v>
      </c>
      <c r="X17" s="1490"/>
      <c r="Y17" s="3530"/>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8"/>
      <c r="M18" s="2892"/>
      <c r="N18" s="2892"/>
      <c r="O18" s="2892"/>
      <c r="P18" s="3537"/>
      <c r="Q18" s="1487"/>
      <c r="R18" s="714"/>
      <c r="S18" s="715"/>
      <c r="T18" s="714"/>
      <c r="U18" s="715"/>
      <c r="V18" s="714"/>
      <c r="W18" s="715"/>
      <c r="X18" s="1490"/>
      <c r="Y18" s="3530"/>
      <c r="Z18" s="1491"/>
      <c r="AA18" s="1488">
        <v>1</v>
      </c>
      <c r="AB18" s="1488">
        <v>1</v>
      </c>
      <c r="AC18" s="1488">
        <v>1</v>
      </c>
    </row>
    <row r="19" spans="1:29" ht="15">
      <c r="A19" s="387"/>
      <c r="B19" s="410" t="s">
        <v>1699</v>
      </c>
      <c r="C19" s="2036"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37"/>
      <c r="Q19" s="1487" t="str">
        <f>B19</f>
        <v>公共配套设施</v>
      </c>
      <c r="R19" s="714" t="s">
        <v>21</v>
      </c>
      <c r="S19" s="715">
        <f>F19</f>
        <v>100</v>
      </c>
      <c r="T19" s="714" t="s">
        <v>21</v>
      </c>
      <c r="U19" s="715">
        <f>H19</f>
        <v>100</v>
      </c>
      <c r="V19" s="714" t="s">
        <v>21</v>
      </c>
      <c r="W19" s="715">
        <f>J19</f>
        <v>100</v>
      </c>
      <c r="X19" s="1490"/>
      <c r="Y19" s="3530"/>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8"/>
      <c r="M20" s="2892"/>
      <c r="N20" s="2892"/>
      <c r="O20" s="2892"/>
      <c r="P20" s="3537"/>
      <c r="Q20" s="1487"/>
      <c r="R20" s="714"/>
      <c r="S20" s="715"/>
      <c r="T20" s="714"/>
      <c r="U20" s="715"/>
      <c r="V20" s="714"/>
      <c r="W20" s="715"/>
      <c r="X20" s="1490"/>
      <c r="Y20" s="3530"/>
      <c r="Z20" s="1491"/>
      <c r="AA20" s="1488">
        <v>1</v>
      </c>
      <c r="AB20" s="1488">
        <v>1</v>
      </c>
      <c r="AC20" s="1488">
        <v>1</v>
      </c>
    </row>
    <row r="21" spans="1:29" ht="15">
      <c r="A21" s="387"/>
      <c r="B21" s="1246" t="s">
        <v>1701</v>
      </c>
      <c r="C21" s="203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37"/>
      <c r="Q21" s="1487" t="str">
        <f>B21</f>
        <v>基础设施水平</v>
      </c>
      <c r="R21" s="714" t="s">
        <v>17</v>
      </c>
      <c r="S21" s="715">
        <f>F21</f>
        <v>100</v>
      </c>
      <c r="T21" s="714" t="s">
        <v>17</v>
      </c>
      <c r="U21" s="715">
        <f>H21</f>
        <v>100</v>
      </c>
      <c r="V21" s="714" t="s">
        <v>17</v>
      </c>
      <c r="W21" s="715">
        <f>J21</f>
        <v>100</v>
      </c>
      <c r="X21" s="1490"/>
      <c r="Y21" s="3530"/>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8"/>
      <c r="M22" s="2892"/>
      <c r="N22" s="2892"/>
      <c r="O22" s="2892"/>
      <c r="P22" s="3537"/>
      <c r="Q22" s="1487"/>
      <c r="R22" s="714"/>
      <c r="S22" s="715"/>
      <c r="T22" s="714"/>
      <c r="U22" s="715"/>
      <c r="V22" s="714"/>
      <c r="W22" s="715"/>
      <c r="X22" s="1490"/>
      <c r="Y22" s="3530"/>
      <c r="Z22" s="1491"/>
      <c r="AA22" s="1488">
        <v>1</v>
      </c>
      <c r="AB22" s="1488">
        <v>1</v>
      </c>
      <c r="AC22" s="1488">
        <v>1</v>
      </c>
    </row>
    <row r="23" spans="1:29" ht="15">
      <c r="A23" s="387"/>
      <c r="B23" s="410" t="s">
        <v>1702</v>
      </c>
      <c r="C23" s="2036"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37"/>
      <c r="Q23" s="1487" t="str">
        <f>B23</f>
        <v>自然及人文环境</v>
      </c>
      <c r="R23" s="714" t="s">
        <v>21</v>
      </c>
      <c r="S23" s="715">
        <f>F23</f>
        <v>100</v>
      </c>
      <c r="T23" s="714" t="s">
        <v>21</v>
      </c>
      <c r="U23" s="715">
        <f>H23</f>
        <v>100</v>
      </c>
      <c r="V23" s="714" t="s">
        <v>21</v>
      </c>
      <c r="W23" s="715">
        <f>J23</f>
        <v>100</v>
      </c>
      <c r="X23" s="1490"/>
      <c r="Y23" s="3530"/>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8"/>
      <c r="M24" s="2892"/>
      <c r="N24" s="2892"/>
      <c r="O24" s="2892"/>
      <c r="P24" s="3537"/>
      <c r="Q24" s="1487"/>
      <c r="R24" s="714"/>
      <c r="S24" s="715"/>
      <c r="T24" s="714"/>
      <c r="U24" s="715"/>
      <c r="V24" s="714"/>
      <c r="W24" s="715"/>
      <c r="X24" s="1490"/>
      <c r="Y24" s="3530"/>
      <c r="Z24" s="1491"/>
      <c r="AA24" s="1488">
        <v>1</v>
      </c>
      <c r="AB24" s="1488">
        <v>1</v>
      </c>
      <c r="AC24" s="1488">
        <v>1</v>
      </c>
    </row>
    <row r="25" spans="1:29" ht="15">
      <c r="A25" s="387"/>
      <c r="B25" s="381" t="s">
        <v>2136</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53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30"/>
      <c r="Z25" s="1491" t="str">
        <f>Q25</f>
        <v>楼层-1</v>
      </c>
      <c r="AA25" s="1488">
        <f t="shared" ref="AA25:AA46" si="15">D25/F25</f>
        <v>1</v>
      </c>
      <c r="AB25" s="1488">
        <f t="shared" ref="AB25:AB46" si="16">D25/H25</f>
        <v>1</v>
      </c>
      <c r="AC25" s="1488">
        <f t="shared" ref="AC25:AC46" si="17">D25/J25</f>
        <v>1</v>
      </c>
    </row>
    <row r="26" spans="1:29" ht="15">
      <c r="A26" s="387"/>
      <c r="B26" s="381" t="s">
        <v>2137</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537"/>
      <c r="Q26" s="1487" t="str">
        <f t="shared" si="11"/>
        <v>朝向</v>
      </c>
      <c r="R26" s="714" t="s">
        <v>21</v>
      </c>
      <c r="S26" s="715">
        <f t="shared" si="12"/>
        <v>100</v>
      </c>
      <c r="T26" s="714" t="s">
        <v>21</v>
      </c>
      <c r="U26" s="715">
        <f t="shared" si="13"/>
        <v>100</v>
      </c>
      <c r="V26" s="714" t="s">
        <v>21</v>
      </c>
      <c r="W26" s="715">
        <f t="shared" si="14"/>
        <v>100</v>
      </c>
      <c r="X26" s="1490"/>
      <c r="Y26" s="353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537"/>
      <c r="Q27" s="1478">
        <f t="shared" si="11"/>
        <v>111</v>
      </c>
      <c r="R27" s="710" t="s">
        <v>21</v>
      </c>
      <c r="S27" s="711">
        <f t="shared" si="12"/>
        <v>100</v>
      </c>
      <c r="T27" s="710" t="s">
        <v>21</v>
      </c>
      <c r="U27" s="711">
        <f t="shared" si="13"/>
        <v>100</v>
      </c>
      <c r="V27" s="710" t="s">
        <v>21</v>
      </c>
      <c r="W27" s="711">
        <f t="shared" si="14"/>
        <v>100</v>
      </c>
      <c r="X27" s="712"/>
      <c r="Y27" s="353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537"/>
      <c r="Q28" s="1487">
        <f t="shared" si="11"/>
        <v>111</v>
      </c>
      <c r="R28" s="714" t="s">
        <v>21</v>
      </c>
      <c r="S28" s="715">
        <f t="shared" si="12"/>
        <v>100</v>
      </c>
      <c r="T28" s="714" t="s">
        <v>21</v>
      </c>
      <c r="U28" s="715">
        <f t="shared" si="13"/>
        <v>100</v>
      </c>
      <c r="V28" s="714" t="s">
        <v>21</v>
      </c>
      <c r="W28" s="715">
        <f t="shared" si="14"/>
        <v>100</v>
      </c>
      <c r="X28" s="1490"/>
      <c r="Y28" s="353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537"/>
      <c r="Q29" s="1487">
        <f t="shared" si="11"/>
        <v>111</v>
      </c>
      <c r="R29" s="714" t="s">
        <v>21</v>
      </c>
      <c r="S29" s="715">
        <f t="shared" si="12"/>
        <v>100</v>
      </c>
      <c r="T29" s="714" t="s">
        <v>21</v>
      </c>
      <c r="U29" s="715">
        <f t="shared" si="13"/>
        <v>100</v>
      </c>
      <c r="V29" s="714" t="s">
        <v>21</v>
      </c>
      <c r="W29" s="715">
        <f t="shared" si="14"/>
        <v>100</v>
      </c>
      <c r="X29" s="1490"/>
      <c r="Y29" s="353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537"/>
      <c r="Q30" s="1487">
        <f t="shared" si="11"/>
        <v>111</v>
      </c>
      <c r="R30" s="714" t="s">
        <v>21</v>
      </c>
      <c r="S30" s="715">
        <f t="shared" si="12"/>
        <v>100</v>
      </c>
      <c r="T30" s="714" t="s">
        <v>21</v>
      </c>
      <c r="U30" s="715">
        <f t="shared" si="13"/>
        <v>100</v>
      </c>
      <c r="V30" s="714" t="s">
        <v>21</v>
      </c>
      <c r="W30" s="715">
        <f t="shared" si="14"/>
        <v>100</v>
      </c>
      <c r="X30" s="1490"/>
      <c r="Y30" s="353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537"/>
      <c r="Q31" s="1487">
        <f t="shared" si="11"/>
        <v>111</v>
      </c>
      <c r="R31" s="714" t="s">
        <v>21</v>
      </c>
      <c r="S31" s="715">
        <f t="shared" si="12"/>
        <v>100</v>
      </c>
      <c r="T31" s="714" t="s">
        <v>21</v>
      </c>
      <c r="U31" s="715">
        <f t="shared" si="13"/>
        <v>100</v>
      </c>
      <c r="V31" s="714" t="s">
        <v>21</v>
      </c>
      <c r="W31" s="715">
        <f t="shared" si="14"/>
        <v>100</v>
      </c>
      <c r="X31" s="1490"/>
      <c r="Y31" s="3530"/>
      <c r="Z31" s="1491">
        <f t="shared" si="18"/>
        <v>111</v>
      </c>
      <c r="AA31" s="1488">
        <f t="shared" si="15"/>
        <v>1</v>
      </c>
      <c r="AB31" s="1488">
        <f t="shared" si="16"/>
        <v>1</v>
      </c>
      <c r="AC31" s="1488">
        <f t="shared" si="17"/>
        <v>1</v>
      </c>
    </row>
    <row r="32" spans="1:29" ht="15">
      <c r="A32" s="399" t="s">
        <v>2138</v>
      </c>
      <c r="B32" s="67" t="s">
        <v>2139</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531" t="s">
        <v>2140</v>
      </c>
      <c r="Q32" s="1487" t="str">
        <f t="shared" si="11"/>
        <v>建筑类型</v>
      </c>
      <c r="R32" s="714" t="s">
        <v>21</v>
      </c>
      <c r="S32" s="715">
        <f t="shared" si="12"/>
        <v>100</v>
      </c>
      <c r="T32" s="714" t="s">
        <v>21</v>
      </c>
      <c r="U32" s="715">
        <f t="shared" si="13"/>
        <v>100</v>
      </c>
      <c r="V32" s="714" t="s">
        <v>21</v>
      </c>
      <c r="W32" s="715">
        <f t="shared" si="14"/>
        <v>100</v>
      </c>
      <c r="X32" s="1490"/>
      <c r="Y32" s="3534" t="s">
        <v>2140</v>
      </c>
      <c r="Z32" s="1491" t="str">
        <f t="shared" si="18"/>
        <v>建筑类型</v>
      </c>
      <c r="AA32" s="1488">
        <f t="shared" si="15"/>
        <v>1</v>
      </c>
      <c r="AB32" s="1488">
        <f t="shared" si="16"/>
        <v>1</v>
      </c>
      <c r="AC32" s="1488">
        <f t="shared" si="17"/>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532"/>
      <c r="Q33" s="716" t="str">
        <f t="shared" si="11"/>
        <v>项目建筑规模</v>
      </c>
      <c r="R33" s="717" t="s">
        <v>21</v>
      </c>
      <c r="S33" s="718" t="e">
        <f t="shared" si="12"/>
        <v>#N/A</v>
      </c>
      <c r="T33" s="717" t="s">
        <v>21</v>
      </c>
      <c r="U33" s="718" t="e">
        <f t="shared" si="13"/>
        <v>#N/A</v>
      </c>
      <c r="V33" s="717" t="s">
        <v>21</v>
      </c>
      <c r="W33" s="718" t="e">
        <f t="shared" si="14"/>
        <v>#N/A</v>
      </c>
      <c r="X33" s="719"/>
      <c r="Y33" s="3534"/>
      <c r="Z33" s="720" t="str">
        <f t="shared" si="18"/>
        <v>项目建筑规模</v>
      </c>
      <c r="AA33" s="1488" t="e">
        <f t="shared" si="15"/>
        <v>#N/A</v>
      </c>
      <c r="AB33" s="1488" t="e">
        <f t="shared" si="16"/>
        <v>#N/A</v>
      </c>
      <c r="AC33" s="1488" t="e">
        <f t="shared" si="17"/>
        <v>#N/A</v>
      </c>
    </row>
    <row r="34" spans="1:29" ht="15">
      <c r="A34" s="431"/>
      <c r="B34" s="381" t="s">
        <v>2142</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532"/>
      <c r="Q34" s="1487" t="str">
        <f t="shared" si="11"/>
        <v>建筑结构</v>
      </c>
      <c r="R34" s="714" t="s">
        <v>21</v>
      </c>
      <c r="S34" s="715">
        <f t="shared" si="12"/>
        <v>100</v>
      </c>
      <c r="T34" s="714" t="s">
        <v>21</v>
      </c>
      <c r="U34" s="715">
        <f t="shared" si="13"/>
        <v>100</v>
      </c>
      <c r="V34" s="714" t="s">
        <v>21</v>
      </c>
      <c r="W34" s="715">
        <f t="shared" si="14"/>
        <v>100</v>
      </c>
      <c r="X34" s="1490"/>
      <c r="Y34" s="3534"/>
      <c r="Z34" s="1491" t="str">
        <f t="shared" si="18"/>
        <v>建筑结构</v>
      </c>
      <c r="AA34" s="1488">
        <f t="shared" si="15"/>
        <v>1</v>
      </c>
      <c r="AB34" s="1488">
        <f t="shared" si="16"/>
        <v>1</v>
      </c>
      <c r="AC34" s="1488">
        <f t="shared" si="17"/>
        <v>1</v>
      </c>
    </row>
    <row r="35" spans="1:29" ht="15">
      <c r="A35" s="431"/>
      <c r="B35" s="381" t="s">
        <v>2143</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532"/>
      <c r="Q35" s="1487" t="str">
        <f t="shared" si="11"/>
        <v>建筑品质</v>
      </c>
      <c r="R35" s="714" t="s">
        <v>21</v>
      </c>
      <c r="S35" s="715">
        <f t="shared" si="12"/>
        <v>100</v>
      </c>
      <c r="T35" s="714" t="s">
        <v>21</v>
      </c>
      <c r="U35" s="715">
        <f t="shared" si="13"/>
        <v>100</v>
      </c>
      <c r="V35" s="714" t="s">
        <v>21</v>
      </c>
      <c r="W35" s="715">
        <f t="shared" si="14"/>
        <v>100</v>
      </c>
      <c r="X35" s="1490"/>
      <c r="Y35" s="3534"/>
      <c r="Z35" s="1491" t="str">
        <f t="shared" si="18"/>
        <v>建筑品质</v>
      </c>
      <c r="AA35" s="1488">
        <f t="shared" si="15"/>
        <v>1</v>
      </c>
      <c r="AB35" s="1488">
        <f t="shared" si="16"/>
        <v>1</v>
      </c>
      <c r="AC35" s="1488">
        <f t="shared" si="17"/>
        <v>1</v>
      </c>
    </row>
    <row r="36" spans="1:29" ht="15">
      <c r="A36" s="431"/>
      <c r="B36" s="381" t="s">
        <v>2144</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532"/>
      <c r="Q36" s="1487" t="str">
        <f t="shared" si="11"/>
        <v>公共部分装修</v>
      </c>
      <c r="R36" s="714" t="s">
        <v>21</v>
      </c>
      <c r="S36" s="715">
        <f t="shared" si="12"/>
        <v>100</v>
      </c>
      <c r="T36" s="714" t="s">
        <v>21</v>
      </c>
      <c r="U36" s="715">
        <f t="shared" si="13"/>
        <v>100</v>
      </c>
      <c r="V36" s="714" t="s">
        <v>21</v>
      </c>
      <c r="W36" s="715">
        <f t="shared" si="14"/>
        <v>100</v>
      </c>
      <c r="X36" s="1490"/>
      <c r="Y36" s="3534"/>
      <c r="Z36" s="1491" t="str">
        <f t="shared" si="18"/>
        <v>公共部分装修</v>
      </c>
      <c r="AA36" s="1488">
        <f t="shared" si="15"/>
        <v>1</v>
      </c>
      <c r="AB36" s="1488">
        <f t="shared" si="16"/>
        <v>1</v>
      </c>
      <c r="AC36" s="1488">
        <f t="shared" si="17"/>
        <v>1</v>
      </c>
    </row>
    <row r="37" spans="1:29" s="113" customFormat="1" ht="15">
      <c r="A37" s="432"/>
      <c r="B37" s="381" t="s">
        <v>2145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532"/>
      <c r="Q37" s="1478" t="str">
        <f t="shared" si="11"/>
        <v>成新度</v>
      </c>
      <c r="R37" s="710" t="s">
        <v>21</v>
      </c>
      <c r="S37" s="711" t="e">
        <f t="shared" si="12"/>
        <v>#N/A</v>
      </c>
      <c r="T37" s="710" t="s">
        <v>21</v>
      </c>
      <c r="U37" s="711" t="e">
        <f t="shared" si="13"/>
        <v>#N/A</v>
      </c>
      <c r="V37" s="710" t="s">
        <v>21</v>
      </c>
      <c r="W37" s="711" t="e">
        <f t="shared" si="14"/>
        <v>#N/A</v>
      </c>
      <c r="X37" s="712"/>
      <c r="Y37" s="3534"/>
      <c r="Z37" s="55" t="str">
        <f t="shared" si="18"/>
        <v>成新度</v>
      </c>
      <c r="AA37" s="713" t="e">
        <f t="shared" si="15"/>
        <v>#N/A</v>
      </c>
      <c r="AB37" s="713" t="e">
        <f t="shared" si="16"/>
        <v>#N/A</v>
      </c>
      <c r="AC37" s="713" t="e">
        <f t="shared" si="17"/>
        <v>#N/A</v>
      </c>
    </row>
    <row r="38" spans="1:29" ht="15">
      <c r="A38" s="431"/>
      <c r="B38" s="381" t="s">
        <v>2146</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532" t="s">
        <v>2140</v>
      </c>
      <c r="Q38" s="1487" t="str">
        <f t="shared" si="11"/>
        <v>物业管理</v>
      </c>
      <c r="R38" s="714" t="s">
        <v>21</v>
      </c>
      <c r="S38" s="715">
        <f t="shared" si="12"/>
        <v>100</v>
      </c>
      <c r="T38" s="714" t="s">
        <v>21</v>
      </c>
      <c r="U38" s="715">
        <f t="shared" si="13"/>
        <v>100</v>
      </c>
      <c r="V38" s="714" t="s">
        <v>21</v>
      </c>
      <c r="W38" s="715">
        <f t="shared" si="14"/>
        <v>100</v>
      </c>
      <c r="X38" s="1490"/>
      <c r="Y38" s="3534" t="s">
        <v>2140</v>
      </c>
      <c r="Z38" s="1491" t="str">
        <f t="shared" si="18"/>
        <v>物业管理</v>
      </c>
      <c r="AA38" s="1488">
        <f t="shared" si="15"/>
        <v>1</v>
      </c>
      <c r="AB38" s="1488">
        <f t="shared" si="16"/>
        <v>1</v>
      </c>
      <c r="AC38" s="1488">
        <f t="shared" si="17"/>
        <v>1</v>
      </c>
    </row>
    <row r="39" spans="1:29" ht="15">
      <c r="A39" s="431"/>
      <c r="B39" s="381" t="s">
        <v>2147</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532"/>
      <c r="Q39" s="1487" t="str">
        <f t="shared" si="11"/>
        <v>市政基础设施</v>
      </c>
      <c r="R39" s="714" t="s">
        <v>21</v>
      </c>
      <c r="S39" s="715">
        <f t="shared" si="12"/>
        <v>100</v>
      </c>
      <c r="T39" s="714" t="s">
        <v>21</v>
      </c>
      <c r="U39" s="715">
        <f t="shared" si="13"/>
        <v>100</v>
      </c>
      <c r="V39" s="714" t="s">
        <v>21</v>
      </c>
      <c r="W39" s="715">
        <f t="shared" si="14"/>
        <v>100</v>
      </c>
      <c r="X39" s="1490"/>
      <c r="Y39" s="3534"/>
      <c r="Z39" s="1491" t="str">
        <f t="shared" si="18"/>
        <v>市政基础设施</v>
      </c>
      <c r="AA39" s="1488">
        <f t="shared" si="15"/>
        <v>1</v>
      </c>
      <c r="AB39" s="1488">
        <f t="shared" si="16"/>
        <v>1</v>
      </c>
      <c r="AC39" s="1488">
        <f t="shared" si="17"/>
        <v>1</v>
      </c>
    </row>
    <row r="40" spans="1:29" ht="15">
      <c r="A40" s="431"/>
      <c r="B40" s="381" t="s">
        <v>2148</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532"/>
      <c r="Q40" s="1487" t="str">
        <f t="shared" si="11"/>
        <v>房型</v>
      </c>
      <c r="R40" s="714" t="s">
        <v>21</v>
      </c>
      <c r="S40" s="715">
        <f t="shared" si="12"/>
        <v>100</v>
      </c>
      <c r="T40" s="714" t="s">
        <v>21</v>
      </c>
      <c r="U40" s="715">
        <f t="shared" si="13"/>
        <v>100</v>
      </c>
      <c r="V40" s="714" t="s">
        <v>21</v>
      </c>
      <c r="W40" s="715">
        <f t="shared" si="14"/>
        <v>100</v>
      </c>
      <c r="X40" s="1490"/>
      <c r="Y40" s="3534"/>
      <c r="Z40" s="1491" t="str">
        <f t="shared" si="18"/>
        <v>房型</v>
      </c>
      <c r="AA40" s="1488">
        <f t="shared" si="15"/>
        <v>1</v>
      </c>
      <c r="AB40" s="1488">
        <f t="shared" si="16"/>
        <v>1</v>
      </c>
      <c r="AC40" s="1488">
        <f t="shared" si="17"/>
        <v>1</v>
      </c>
    </row>
    <row r="41" spans="1:29" s="430" customFormat="1" ht="28.5">
      <c r="A41" s="427"/>
      <c r="B41" s="381" t="s">
        <v>2149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532"/>
      <c r="Q41" s="716" t="str">
        <f t="shared" si="11"/>
        <v>单套/主力户型建筑面积</v>
      </c>
      <c r="R41" s="717" t="s">
        <v>21</v>
      </c>
      <c r="S41" s="718">
        <f t="shared" si="12"/>
        <v>100</v>
      </c>
      <c r="T41" s="717" t="s">
        <v>21</v>
      </c>
      <c r="U41" s="718">
        <f t="shared" si="13"/>
        <v>100</v>
      </c>
      <c r="V41" s="717" t="s">
        <v>21</v>
      </c>
      <c r="W41" s="718">
        <f t="shared" si="14"/>
        <v>100</v>
      </c>
      <c r="X41" s="719"/>
      <c r="Y41" s="3534"/>
      <c r="Z41" s="720" t="str">
        <f t="shared" si="18"/>
        <v>单套/主力户型建筑面积</v>
      </c>
      <c r="AA41" s="1488">
        <f t="shared" si="15"/>
        <v>1</v>
      </c>
      <c r="AB41" s="1488">
        <f t="shared" si="16"/>
        <v>1</v>
      </c>
      <c r="AC41" s="1488">
        <f t="shared" si="17"/>
        <v>1</v>
      </c>
    </row>
    <row r="42" spans="1:29" ht="15">
      <c r="A42" s="431"/>
      <c r="B42" s="381" t="s">
        <v>2150</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532"/>
      <c r="Q42" s="1487" t="str">
        <f t="shared" si="11"/>
        <v>内部装修</v>
      </c>
      <c r="R42" s="714" t="s">
        <v>21</v>
      </c>
      <c r="S42" s="715">
        <f t="shared" si="12"/>
        <v>100</v>
      </c>
      <c r="T42" s="714" t="s">
        <v>21</v>
      </c>
      <c r="U42" s="715">
        <f t="shared" si="13"/>
        <v>100</v>
      </c>
      <c r="V42" s="714" t="s">
        <v>21</v>
      </c>
      <c r="W42" s="715">
        <f t="shared" si="14"/>
        <v>100</v>
      </c>
      <c r="X42" s="1490"/>
      <c r="Y42" s="3534"/>
      <c r="Z42" s="1491" t="str">
        <f t="shared" si="18"/>
        <v>内部装修</v>
      </c>
      <c r="AA42" s="1488">
        <f t="shared" si="15"/>
        <v>1</v>
      </c>
      <c r="AB42" s="1488">
        <f t="shared" si="16"/>
        <v>1</v>
      </c>
      <c r="AC42" s="1488">
        <f t="shared" si="17"/>
        <v>1</v>
      </c>
    </row>
    <row r="43" spans="1:29" ht="15">
      <c r="A43" s="431"/>
      <c r="B43" s="381" t="s">
        <v>2151</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532"/>
      <c r="Q43" s="1487" t="str">
        <f t="shared" si="11"/>
        <v>内部装修维护情况</v>
      </c>
      <c r="R43" s="714" t="s">
        <v>21</v>
      </c>
      <c r="S43" s="715">
        <f t="shared" si="12"/>
        <v>100</v>
      </c>
      <c r="T43" s="714" t="s">
        <v>21</v>
      </c>
      <c r="U43" s="715">
        <f t="shared" si="13"/>
        <v>100</v>
      </c>
      <c r="V43" s="714" t="s">
        <v>21</v>
      </c>
      <c r="W43" s="715">
        <f t="shared" si="14"/>
        <v>100</v>
      </c>
      <c r="X43" s="1490"/>
      <c r="Y43" s="353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532"/>
      <c r="Q44" s="1478">
        <f t="shared" si="11"/>
        <v>111</v>
      </c>
      <c r="R44" s="710" t="s">
        <v>21</v>
      </c>
      <c r="S44" s="711">
        <f t="shared" si="12"/>
        <v>100</v>
      </c>
      <c r="T44" s="710" t="s">
        <v>21</v>
      </c>
      <c r="U44" s="711">
        <f t="shared" si="13"/>
        <v>100</v>
      </c>
      <c r="V44" s="710" t="s">
        <v>21</v>
      </c>
      <c r="W44" s="711">
        <f t="shared" si="14"/>
        <v>100</v>
      </c>
      <c r="X44" s="712"/>
      <c r="Y44" s="353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532"/>
      <c r="Q45" s="1487">
        <f t="shared" si="11"/>
        <v>111</v>
      </c>
      <c r="R45" s="714" t="s">
        <v>21</v>
      </c>
      <c r="S45" s="715">
        <f t="shared" si="12"/>
        <v>100</v>
      </c>
      <c r="T45" s="714" t="s">
        <v>21</v>
      </c>
      <c r="U45" s="715">
        <f t="shared" si="13"/>
        <v>100</v>
      </c>
      <c r="V45" s="714" t="s">
        <v>21</v>
      </c>
      <c r="W45" s="715">
        <f t="shared" si="14"/>
        <v>100</v>
      </c>
      <c r="X45" s="1490"/>
      <c r="Y45" s="3534"/>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533"/>
      <c r="Q46" s="1487">
        <f t="shared" si="11"/>
        <v>111</v>
      </c>
      <c r="R46" s="714" t="s">
        <v>20</v>
      </c>
      <c r="S46" s="715">
        <f t="shared" si="12"/>
        <v>100</v>
      </c>
      <c r="T46" s="714" t="s">
        <v>20</v>
      </c>
      <c r="U46" s="715">
        <f t="shared" si="13"/>
        <v>100</v>
      </c>
      <c r="V46" s="714" t="s">
        <v>20</v>
      </c>
      <c r="W46" s="715">
        <f t="shared" si="14"/>
        <v>100</v>
      </c>
      <c r="X46" s="1490"/>
      <c r="Y46" s="3535"/>
      <c r="Z46" s="1491">
        <f t="shared" si="18"/>
        <v>111</v>
      </c>
      <c r="AA46" s="1488">
        <f t="shared" si="15"/>
        <v>1</v>
      </c>
      <c r="AB46" s="1488">
        <f t="shared" si="16"/>
        <v>1</v>
      </c>
      <c r="AC46" s="1488">
        <f t="shared" si="17"/>
        <v>1</v>
      </c>
    </row>
    <row r="47" spans="1:29" ht="15">
      <c r="A47" s="438" t="s">
        <v>2152</v>
      </c>
      <c r="B47" s="439"/>
      <c r="C47" s="1269" t="s">
        <v>19</v>
      </c>
      <c r="D47" s="1270"/>
      <c r="E47" s="1271"/>
      <c r="F47" s="1272"/>
      <c r="G47" s="1273"/>
      <c r="H47" s="1274"/>
      <c r="I47" s="1271"/>
      <c r="J47" s="1274"/>
      <c r="K47" s="2050"/>
      <c r="L47" s="2900"/>
      <c r="M47" s="2901"/>
      <c r="N47" s="2892"/>
      <c r="O47" s="2901"/>
      <c r="P47" s="3527" t="str">
        <f>A47</f>
        <v>成交单价（元/平方米）</v>
      </c>
      <c r="Q47" s="3527"/>
      <c r="R47" s="3528">
        <f>E47</f>
        <v>0</v>
      </c>
      <c r="S47" s="3528"/>
      <c r="T47" s="3528">
        <f>G47</f>
        <v>0</v>
      </c>
      <c r="U47" s="3528"/>
      <c r="V47" s="3528">
        <f>I47</f>
        <v>0</v>
      </c>
      <c r="W47" s="3528"/>
      <c r="X47" s="699"/>
      <c r="Y47" s="721"/>
      <c r="Z47" s="699"/>
      <c r="AA47" s="699"/>
      <c r="AB47" s="699"/>
      <c r="AC47" s="699"/>
    </row>
    <row r="48" spans="1:29" ht="15.75" thickBot="1">
      <c r="A48" s="445" t="s">
        <v>2153</v>
      </c>
      <c r="B48" s="446"/>
      <c r="C48" s="1275" t="e">
        <f>R49</f>
        <v>#DIV/0!</v>
      </c>
      <c r="D48" s="2488" t="s">
        <v>2634</v>
      </c>
      <c r="E48" s="1276" t="e">
        <f>R48</f>
        <v>#DIV/0!</v>
      </c>
      <c r="F48" s="2489"/>
      <c r="G48" s="1275" t="e">
        <f>T48</f>
        <v>#DIV/0!</v>
      </c>
      <c r="H48" s="2489"/>
      <c r="I48" s="1276" t="e">
        <f>V48</f>
        <v>#DIV/0!</v>
      </c>
      <c r="J48" s="2489"/>
      <c r="K48" s="2490">
        <f>F48+H48+J48</f>
        <v>0</v>
      </c>
      <c r="L48" s="2900"/>
      <c r="M48" s="2901"/>
      <c r="N48" s="2901"/>
      <c r="O48" s="2901"/>
      <c r="P48" s="3527" t="str">
        <f>A48</f>
        <v>比较价值（元/平方米）</v>
      </c>
      <c r="Q48" s="3527"/>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699"/>
      <c r="Y48" s="699"/>
      <c r="Z48" s="699"/>
      <c r="AA48" s="699"/>
      <c r="AB48" s="699"/>
      <c r="AC48" s="699"/>
    </row>
    <row r="49" spans="1:29" ht="15.75" thickBot="1">
      <c r="A49" s="449" t="s">
        <v>2154</v>
      </c>
      <c r="B49" s="450"/>
      <c r="C49" s="1277" t="e">
        <f>R49</f>
        <v>#DIV/0!</v>
      </c>
      <c r="D49" s="1278"/>
      <c r="E49" s="1278"/>
      <c r="F49" s="1278"/>
      <c r="G49" s="1278"/>
      <c r="H49" s="1278"/>
      <c r="I49" s="1278"/>
      <c r="J49" s="1278"/>
      <c r="K49" s="2051"/>
      <c r="L49" s="2900"/>
      <c r="M49" s="2901"/>
      <c r="N49" s="2901"/>
      <c r="O49" s="2901"/>
      <c r="P49" s="3524" t="str">
        <f>A49</f>
        <v>估价对象XX用房的比较价值（楼面单价，元/平方米）</v>
      </c>
      <c r="Q49" s="3525"/>
      <c r="R49" s="3526" t="e">
        <f>IF(F1="售价",ROUND(IF(D48="简单平均",AVERAGE(R48:V48),R48*F48+T48*H48+V48*J48),0),ROUND(IF(D48="简单平均",AVERAGE(R48:V48),R48*F48+T48*H48+V48*J48),1))</f>
        <v>#DIV/0!</v>
      </c>
      <c r="S49" s="3526"/>
      <c r="T49" s="3526"/>
      <c r="U49" s="3526"/>
      <c r="V49" s="3526"/>
      <c r="W49" s="3526"/>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2155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2156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2157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3" t="s">
        <v>2158</v>
      </c>
      <c r="B57" s="699"/>
      <c r="C57" s="704"/>
      <c r="D57" s="704"/>
      <c r="E57" s="704"/>
      <c r="F57" s="705"/>
      <c r="G57" s="705"/>
      <c r="H57" s="704"/>
      <c r="I57" s="704"/>
      <c r="J57" s="704"/>
      <c r="K57" s="1053"/>
      <c r="L57" s="1054"/>
      <c r="M57" s="1052"/>
      <c r="N57" s="1052"/>
      <c r="O57" s="1052"/>
      <c r="P57" s="2054"/>
      <c r="Q57" s="461"/>
    </row>
    <row r="58" spans="1:29" s="465" customFormat="1" ht="15">
      <c r="A58" s="462" t="s">
        <v>2159</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2160</v>
      </c>
      <c r="B60" s="473"/>
      <c r="C60" s="474"/>
      <c r="D60" s="475"/>
      <c r="E60" s="475"/>
      <c r="F60" s="475"/>
      <c r="G60" s="475"/>
      <c r="H60" s="475"/>
      <c r="I60" s="475"/>
      <c r="J60" s="475"/>
      <c r="K60" s="475"/>
      <c r="L60" s="475"/>
      <c r="M60" s="476"/>
      <c r="N60" s="475"/>
      <c r="O60" s="476"/>
      <c r="P60" s="2056"/>
      <c r="Q60" s="461"/>
    </row>
    <row r="61" spans="1:29" s="113" customFormat="1" ht="15">
      <c r="A61" s="478" t="s">
        <v>2161</v>
      </c>
      <c r="B61" s="467"/>
      <c r="C61" s="479" t="s">
        <v>2162</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2163</v>
      </c>
      <c r="B63" s="485" t="s">
        <v>2129</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2132</v>
      </c>
      <c r="C65" s="496" t="s">
        <v>2164</v>
      </c>
      <c r="D65" s="496" t="s">
        <v>2165</v>
      </c>
      <c r="E65" s="496" t="s">
        <v>2166</v>
      </c>
      <c r="F65" s="496" t="s">
        <v>2167</v>
      </c>
      <c r="G65" s="496" t="s">
        <v>2168</v>
      </c>
      <c r="H65" s="496" t="s">
        <v>2169</v>
      </c>
      <c r="I65" s="496" t="s">
        <v>2170</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2134</v>
      </c>
      <c r="B76" s="485" t="s">
        <v>2171</v>
      </c>
      <c r="C76" s="530" t="s">
        <v>2172</v>
      </c>
      <c r="D76" s="530" t="s">
        <v>2173</v>
      </c>
      <c r="E76" s="530" t="s">
        <v>2174</v>
      </c>
      <c r="F76" s="530" t="s">
        <v>2175</v>
      </c>
      <c r="G76" s="530" t="s">
        <v>2176</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2177</v>
      </c>
      <c r="C78" s="535" t="s">
        <v>2172</v>
      </c>
      <c r="D78" s="535" t="s">
        <v>2173</v>
      </c>
      <c r="E78" s="535" t="s">
        <v>2174</v>
      </c>
      <c r="F78" s="535" t="s">
        <v>2175</v>
      </c>
      <c r="G78" s="535" t="s">
        <v>2176</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2178</v>
      </c>
      <c r="C80" s="535" t="s">
        <v>2172</v>
      </c>
      <c r="D80" s="535" t="s">
        <v>2173</v>
      </c>
      <c r="E80" s="535" t="s">
        <v>2174</v>
      </c>
      <c r="F80" s="535" t="s">
        <v>2175</v>
      </c>
      <c r="G80" s="535" t="s">
        <v>2176</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1701</v>
      </c>
      <c r="C82" s="496" t="s">
        <v>2179</v>
      </c>
      <c r="D82" s="496" t="s">
        <v>2180</v>
      </c>
      <c r="E82" s="496" t="s">
        <v>2181</v>
      </c>
      <c r="F82" s="496" t="s">
        <v>2182</v>
      </c>
      <c r="G82" s="496" t="s">
        <v>2183</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2184</v>
      </c>
      <c r="C84" s="535" t="s">
        <v>2172</v>
      </c>
      <c r="D84" s="535" t="s">
        <v>2173</v>
      </c>
      <c r="E84" s="535" t="s">
        <v>2174</v>
      </c>
      <c r="F84" s="535" t="s">
        <v>2175</v>
      </c>
      <c r="G84" s="535" t="s">
        <v>2176</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2185</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2186</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2138</v>
      </c>
      <c r="B100" s="485" t="s">
        <v>2187</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2188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2189</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2190</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2191</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2192</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2193</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2194</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2149</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2195</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2196</v>
      </c>
      <c r="C124" s="535" t="s">
        <v>2172</v>
      </c>
      <c r="D124" s="535" t="s">
        <v>2173</v>
      </c>
      <c r="E124" s="535" t="s">
        <v>2174</v>
      </c>
      <c r="F124" s="535" t="s">
        <v>2175</v>
      </c>
      <c r="G124" s="535" t="s">
        <v>2176</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2197</v>
      </c>
    </row>
    <row r="137" spans="1:17" ht="15">
      <c r="B137" s="2066" t="s">
        <v>2198</v>
      </c>
      <c r="C137" s="2067"/>
      <c r="D137" s="2067"/>
      <c r="E137" s="2067"/>
      <c r="F137" s="2067"/>
      <c r="G137" s="2068"/>
      <c r="H137" s="2069"/>
      <c r="I137" s="2070" t="s">
        <v>2199</v>
      </c>
      <c r="J137" s="2067"/>
      <c r="K137" s="2071"/>
    </row>
    <row r="138" spans="1:17" ht="15">
      <c r="B138" s="2072"/>
      <c r="C138" s="142" t="s">
        <v>2200</v>
      </c>
      <c r="D138" s="142" t="s">
        <v>2201</v>
      </c>
      <c r="E138" s="2073" t="s">
        <v>2202</v>
      </c>
      <c r="F138" s="2074" t="s">
        <v>2203</v>
      </c>
      <c r="G138" s="142" t="s">
        <v>2201</v>
      </c>
      <c r="H138" s="143" t="s">
        <v>2202</v>
      </c>
      <c r="I138" s="2075"/>
      <c r="J138" s="142" t="s">
        <v>2204</v>
      </c>
      <c r="K138" s="143" t="s">
        <v>2205</v>
      </c>
    </row>
    <row r="139" spans="1:17" ht="15">
      <c r="B139" s="979">
        <v>6</v>
      </c>
      <c r="C139" s="980">
        <v>96</v>
      </c>
      <c r="D139" s="2076" t="s">
        <v>2206</v>
      </c>
      <c r="E139" s="981">
        <v>100</v>
      </c>
      <c r="F139" s="982">
        <v>102.5</v>
      </c>
      <c r="G139" s="2076" t="s">
        <v>2206</v>
      </c>
      <c r="H139" s="983">
        <v>105</v>
      </c>
      <c r="I139" s="2077" t="s">
        <v>2207</v>
      </c>
      <c r="J139" s="980">
        <v>20</v>
      </c>
      <c r="K139" s="984">
        <f>C145/(J139-2)</f>
        <v>4.0555555555555553E-3</v>
      </c>
    </row>
    <row r="140" spans="1:17" ht="15">
      <c r="B140" s="985">
        <v>5</v>
      </c>
      <c r="C140" s="986">
        <v>100</v>
      </c>
      <c r="D140" s="986"/>
      <c r="E140" s="987"/>
      <c r="F140" s="988">
        <v>102</v>
      </c>
      <c r="G140" s="986"/>
      <c r="H140" s="989"/>
      <c r="I140" s="2078" t="s">
        <v>2208</v>
      </c>
      <c r="J140" s="277">
        <f>ROUNDUP((J139-1)/2,0)</f>
        <v>10</v>
      </c>
      <c r="K140" s="990">
        <v>100</v>
      </c>
    </row>
    <row r="141" spans="1:17" ht="15">
      <c r="B141" s="985">
        <v>4</v>
      </c>
      <c r="C141" s="986">
        <v>102</v>
      </c>
      <c r="D141" s="986"/>
      <c r="E141" s="987"/>
      <c r="F141" s="988">
        <v>101.5</v>
      </c>
      <c r="G141" s="986"/>
      <c r="H141" s="989"/>
      <c r="I141" s="2078" t="s">
        <v>2209</v>
      </c>
      <c r="J141" s="277">
        <v>1</v>
      </c>
      <c r="K141" s="991">
        <f>ROUND(100+(J141-J140)*K139*100,1)</f>
        <v>96.4</v>
      </c>
    </row>
    <row r="142" spans="1:17" ht="15">
      <c r="B142" s="985">
        <v>3</v>
      </c>
      <c r="C142" s="986">
        <v>103</v>
      </c>
      <c r="D142" s="986"/>
      <c r="E142" s="987"/>
      <c r="F142" s="988">
        <v>101</v>
      </c>
      <c r="G142" s="986"/>
      <c r="H142" s="989"/>
      <c r="I142" s="2078" t="s">
        <v>2210</v>
      </c>
      <c r="J142" s="277">
        <f>J139</f>
        <v>20</v>
      </c>
      <c r="K142" s="992">
        <v>95</v>
      </c>
    </row>
    <row r="143" spans="1:17" ht="15">
      <c r="B143" s="985">
        <v>2</v>
      </c>
      <c r="C143" s="986">
        <v>100</v>
      </c>
      <c r="D143" s="986"/>
      <c r="E143" s="987"/>
      <c r="F143" s="988">
        <v>100.5</v>
      </c>
      <c r="G143" s="986"/>
      <c r="H143" s="989"/>
      <c r="I143" s="2078" t="s">
        <v>2211</v>
      </c>
      <c r="J143" s="986">
        <v>15</v>
      </c>
      <c r="K143" s="991">
        <f>ROUND(100+(J143-J140)*K139*100,1)</f>
        <v>102</v>
      </c>
    </row>
    <row r="144" spans="1:17" ht="15">
      <c r="B144" s="985">
        <v>1</v>
      </c>
      <c r="C144" s="986">
        <v>98</v>
      </c>
      <c r="D144" s="2079" t="s">
        <v>2212</v>
      </c>
      <c r="E144" s="987">
        <v>102</v>
      </c>
      <c r="F144" s="993">
        <v>100</v>
      </c>
      <c r="G144" s="2079" t="s">
        <v>2212</v>
      </c>
      <c r="H144" s="989">
        <v>105</v>
      </c>
      <c r="I144" s="2078" t="s">
        <v>2211</v>
      </c>
      <c r="J144" s="986">
        <v>18</v>
      </c>
      <c r="K144" s="991">
        <f>ROUND(100+(J144-J140)*K139*100,1)</f>
        <v>103.2</v>
      </c>
    </row>
    <row r="145" spans="2:11" ht="15.75" thickBot="1">
      <c r="B145" s="2080" t="s">
        <v>2213</v>
      </c>
      <c r="C145" s="994">
        <f>ROUND(MAX(C139:C144)/MIN(C139:C144)-1,3)</f>
        <v>7.2999999999999995E-2</v>
      </c>
      <c r="D145" s="995"/>
      <c r="E145" s="995"/>
      <c r="F145" s="2081" t="s">
        <v>2214</v>
      </c>
      <c r="G145" s="2082"/>
      <c r="H145" s="2083"/>
      <c r="I145" s="2084" t="s">
        <v>2211</v>
      </c>
      <c r="J145" s="996">
        <v>8</v>
      </c>
      <c r="K145" s="997">
        <f>ROUND(100+(J145-J140)*K139*100,1)</f>
        <v>99.2</v>
      </c>
    </row>
    <row r="147" spans="2:11">
      <c r="B147" s="2065" t="s">
        <v>2215</v>
      </c>
    </row>
    <row r="148" spans="2:11">
      <c r="B148" s="2065" t="s">
        <v>2216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1331</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1332</v>
      </c>
    </row>
    <row r="6" spans="1:1" ht="18.75">
      <c r="A6" s="1618" t="s">
        <v>1333</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估价对象为北京市房地产，为所有。根据《国有土地使用证》[京东国用（2014出）第00252号]，估价对象（分摊）出让国有建设用地使用权面积为10807.05平方米，建筑面积为58300.3平方米。</v>
      </c>
    </row>
    <row r="8" spans="1:1" ht="57.75">
      <c r="A8" s="1619" t="s">
        <v>1334</v>
      </c>
    </row>
    <row r="9" spans="1:1" ht="18.75">
      <c r="A9" s="1618" t="s">
        <v>1335</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京东国用（2014出）第00252号]，估价对象（分摊）出让国有建设用地使用权面积为10807.05平方米，规划建筑面积为58300.3平方米。</v>
      </c>
    </row>
    <row r="11" spans="1:1" ht="76.5">
      <c r="A11" s="1619" t="s">
        <v>1336</v>
      </c>
    </row>
    <row r="12" spans="1:1" ht="18.75">
      <c r="A12" s="1617" t="s">
        <v>1337</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1338</v>
      </c>
    </row>
    <row r="15" spans="1:1" ht="18">
      <c r="A15" s="1622" t="str">
        <f>TEXT(项目基本情况!D3,"yyyy年m月d日;;")&amp;IF(项目基本情况!D3=项目基本情况!B3,"（评估专业人员实地查勘之日）","")</f>
        <v>2022年6月30日（评估专业人员实地查勘之日）</v>
      </c>
    </row>
    <row r="16" spans="1:1" ht="18.75">
      <c r="A16" s="1621" t="s">
        <v>1339</v>
      </c>
    </row>
    <row r="17" spans="1:1" ht="75">
      <c r="A17" s="1616" t="s">
        <v>1340</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1329</v>
      </c>
    </row>
    <row r="24" spans="1:1" ht="18">
      <c r="A24" s="1623" t="str">
        <f>"本次评估采用的主估价方法为"&amp;结果表!K4&amp;"和"&amp;结果表!L4&amp;"。"</f>
        <v>本次评估采用的主估价方法为成本法和收益法。</v>
      </c>
    </row>
    <row r="25" spans="1:1" ht="18">
      <c r="A25" s="1623"/>
    </row>
    <row r="26" spans="1:1" ht="18.75">
      <c r="A26" s="1624" t="s">
        <v>1330</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14" t="s">
        <v>2217</v>
      </c>
      <c r="C1" s="1359" t="s">
        <v>2105</v>
      </c>
      <c r="D1" s="1346"/>
      <c r="E1" s="2493"/>
      <c r="F1" s="2015"/>
      <c r="G1" s="1356" t="s">
        <v>2218</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1903</v>
      </c>
      <c r="B2" s="1279" t="e">
        <f ca="1">IF(C2="——",ROUND(C49*D3/10000,0),ROUND(C49*D3/10000,0)-D2)</f>
        <v>#DIV/0!</v>
      </c>
      <c r="C2" s="2017"/>
      <c r="D2" s="1228" t="e">
        <f ca="1">SUMIF(INDIRECT("'"&amp;F2&amp;"'"&amp;"!A:A"),"承租人权益价值",INDIRECT("'"&amp;F2&amp;"'"&amp;"!c:c"))</f>
        <v>#REF!</v>
      </c>
      <c r="E2" s="2018" t="s">
        <v>1904</v>
      </c>
      <c r="F2" s="2019"/>
      <c r="G2" s="1020"/>
      <c r="H2" s="1020"/>
      <c r="I2" s="1020"/>
      <c r="J2" s="1020"/>
      <c r="K2" s="1020"/>
      <c r="L2" s="2910"/>
      <c r="M2" s="2911"/>
      <c r="N2" s="2911"/>
      <c r="O2" s="2911"/>
      <c r="P2" s="2088"/>
      <c r="Q2" s="1024"/>
      <c r="R2" s="1024"/>
      <c r="S2" s="1024"/>
      <c r="T2" s="1024"/>
      <c r="U2" s="1024"/>
      <c r="V2" s="1024"/>
      <c r="W2" s="1024"/>
      <c r="X2" s="1024"/>
      <c r="Y2" s="1024"/>
      <c r="Z2" s="1024"/>
      <c r="AA2" s="1024"/>
      <c r="AB2" s="1024"/>
      <c r="AC2" s="2089"/>
    </row>
    <row r="3" spans="1:29" s="358" customFormat="1" ht="28.5" customHeight="1" thickBot="1">
      <c r="A3" s="209" t="s">
        <v>1905</v>
      </c>
      <c r="B3" s="566" t="e">
        <f ca="1">IF(C2="——",C49,ROUND(B2*10000/D3,0))</f>
        <v>#DIV/0!</v>
      </c>
      <c r="C3" s="360" t="s">
        <v>2219</v>
      </c>
      <c r="D3" s="359">
        <f>IF(D1="",'数据-汇总表'!E3,SUMIF('数据-汇总表'!$C19:$C33,D1,'数据-汇总表'!$E19:$E33))</f>
        <v>58300.299999999996</v>
      </c>
      <c r="E3" s="2090"/>
      <c r="F3" s="1021"/>
      <c r="G3" s="1020"/>
      <c r="H3" s="1020"/>
      <c r="I3" s="1020"/>
      <c r="J3" s="1020"/>
      <c r="K3" s="1022"/>
      <c r="L3" s="2910"/>
      <c r="M3" s="2911"/>
      <c r="N3" s="2911"/>
      <c r="O3" s="2911"/>
      <c r="P3" s="2088"/>
      <c r="Q3" s="1024"/>
      <c r="R3" s="1024"/>
      <c r="S3" s="1024"/>
      <c r="T3" s="1024"/>
      <c r="U3" s="1024"/>
      <c r="V3" s="1024"/>
      <c r="W3" s="1024"/>
      <c r="X3" s="1024"/>
      <c r="Y3" s="1024"/>
      <c r="Z3" s="1024"/>
      <c r="AA3" s="1024"/>
      <c r="AB3" s="1024"/>
      <c r="AC3" s="2090"/>
    </row>
    <row r="4" spans="1:29" ht="15">
      <c r="A4" s="361" t="s">
        <v>2220</v>
      </c>
      <c r="B4" s="362"/>
      <c r="C4" s="3510" t="s">
        <v>2221</v>
      </c>
      <c r="D4" s="3511"/>
      <c r="E4" s="3512" t="s">
        <v>2222</v>
      </c>
      <c r="F4" s="3513"/>
      <c r="G4" s="3510" t="s">
        <v>2223</v>
      </c>
      <c r="H4" s="3511"/>
      <c r="I4" s="3510" t="s">
        <v>2224</v>
      </c>
      <c r="J4" s="3511"/>
      <c r="K4" s="567" t="s">
        <v>2225</v>
      </c>
      <c r="L4" s="2891"/>
      <c r="M4" s="2892"/>
      <c r="N4" s="2892"/>
      <c r="O4" s="2892"/>
      <c r="P4" s="3514" t="s">
        <v>2226</v>
      </c>
      <c r="Q4" s="3515"/>
      <c r="R4" s="3497" t="s">
        <v>2222</v>
      </c>
      <c r="S4" s="3498"/>
      <c r="T4" s="3497" t="s">
        <v>2223</v>
      </c>
      <c r="U4" s="3498"/>
      <c r="V4" s="3522" t="s">
        <v>2224</v>
      </c>
      <c r="W4" s="3522"/>
      <c r="X4" s="1490"/>
      <c r="Y4" s="3497" t="s">
        <v>2226</v>
      </c>
      <c r="Z4" s="3498"/>
      <c r="AA4" s="3492" t="s">
        <v>2222</v>
      </c>
      <c r="AB4" s="3522" t="s">
        <v>2223</v>
      </c>
      <c r="AC4" s="3492" t="s">
        <v>2224</v>
      </c>
    </row>
    <row r="5" spans="1:29" ht="15">
      <c r="A5" s="364"/>
      <c r="B5" s="365"/>
      <c r="C5" s="3503" t="s">
        <v>2117</v>
      </c>
      <c r="D5" s="3504"/>
      <c r="E5" s="3501" t="s">
        <v>2118</v>
      </c>
      <c r="F5" s="3502"/>
      <c r="G5" s="3503" t="s">
        <v>2119</v>
      </c>
      <c r="H5" s="3504"/>
      <c r="I5" s="3503" t="s">
        <v>2120</v>
      </c>
      <c r="J5" s="3504"/>
      <c r="K5" s="567"/>
      <c r="L5" s="2891"/>
      <c r="M5" s="2892"/>
      <c r="N5" s="2892"/>
      <c r="O5" s="2892"/>
      <c r="P5" s="3516"/>
      <c r="Q5" s="3517"/>
      <c r="R5" s="3499"/>
      <c r="S5" s="3500"/>
      <c r="T5" s="3499"/>
      <c r="U5" s="3500"/>
      <c r="V5" s="3522"/>
      <c r="W5" s="3522"/>
      <c r="X5" s="1490"/>
      <c r="Y5" s="3499"/>
      <c r="Z5" s="3500"/>
      <c r="AA5" s="3493"/>
      <c r="AB5" s="3522"/>
      <c r="AC5" s="3493"/>
    </row>
    <row r="6" spans="1:29" ht="15.75" thickBot="1">
      <c r="A6" s="366"/>
      <c r="B6" s="367"/>
      <c r="C6" s="3505" t="s">
        <v>2121</v>
      </c>
      <c r="D6" s="3506"/>
      <c r="E6" s="3507" t="s">
        <v>2121</v>
      </c>
      <c r="F6" s="3508"/>
      <c r="G6" s="3505" t="s">
        <v>2121</v>
      </c>
      <c r="H6" s="3506"/>
      <c r="I6" s="3505" t="s">
        <v>2121</v>
      </c>
      <c r="J6" s="3506"/>
      <c r="K6" s="567" t="s">
        <v>2122</v>
      </c>
      <c r="L6" s="2891"/>
      <c r="M6" s="2892"/>
      <c r="N6" s="2892"/>
      <c r="O6" s="2892"/>
      <c r="P6" s="3518"/>
      <c r="Q6" s="3519"/>
      <c r="R6" s="3499"/>
      <c r="S6" s="3500"/>
      <c r="T6" s="3520"/>
      <c r="U6" s="3521"/>
      <c r="V6" s="3522"/>
      <c r="W6" s="3522"/>
      <c r="X6" s="1490"/>
      <c r="Y6" s="3520"/>
      <c r="Z6" s="3521"/>
      <c r="AA6" s="3494"/>
      <c r="AB6" s="3522"/>
      <c r="AC6" s="3494"/>
    </row>
    <row r="7" spans="1:29" s="113" customFormat="1" ht="15.75" thickBot="1">
      <c r="A7" s="368" t="s">
        <v>2123</v>
      </c>
      <c r="B7" s="369"/>
      <c r="C7" s="370">
        <f>'数据-取费表'!B2</f>
        <v>44742</v>
      </c>
      <c r="D7" s="371">
        <v>100</v>
      </c>
      <c r="E7" s="372"/>
      <c r="F7" s="373">
        <f>SUMIF(58:58,YEAR(E7)&amp;"-"&amp;MONTH(E7),59:59)</f>
        <v>0</v>
      </c>
      <c r="G7" s="372"/>
      <c r="H7" s="371">
        <f>SUMIF(58:58,YEAR(G7)&amp;"-"&amp;MONTH(G7),59:59)</f>
        <v>0</v>
      </c>
      <c r="I7" s="372"/>
      <c r="J7" s="371">
        <f>SUMIF(58:58,YEAR(I7)&amp;"-"&amp;MONTH(I7),59:59)</f>
        <v>0</v>
      </c>
      <c r="K7" s="568"/>
      <c r="L7" s="2893"/>
      <c r="M7" s="2894"/>
      <c r="N7" s="2894"/>
      <c r="O7" s="2894"/>
      <c r="P7" s="3495" t="s">
        <v>2124</v>
      </c>
      <c r="Q7" s="3523"/>
      <c r="R7" s="710" t="s">
        <v>17</v>
      </c>
      <c r="S7" s="711">
        <f t="shared" ref="S7:S15" si="0">F7</f>
        <v>0</v>
      </c>
      <c r="T7" s="710" t="s">
        <v>17</v>
      </c>
      <c r="U7" s="711">
        <f t="shared" ref="U7:U15" si="1">H7</f>
        <v>0</v>
      </c>
      <c r="V7" s="710" t="s">
        <v>17</v>
      </c>
      <c r="W7" s="711">
        <f t="shared" ref="W7:W15" si="2">J7</f>
        <v>0</v>
      </c>
      <c r="X7" s="712"/>
      <c r="Y7" s="3495" t="s">
        <v>2124</v>
      </c>
      <c r="Z7" s="3496"/>
      <c r="AA7" s="713" t="e">
        <f>D7/F7</f>
        <v>#DIV/0!</v>
      </c>
      <c r="AB7" s="713" t="e">
        <f>D7/H7</f>
        <v>#DIV/0!</v>
      </c>
      <c r="AC7" s="713" t="e">
        <f>D7/J7</f>
        <v>#DIV/0!</v>
      </c>
    </row>
    <row r="8" spans="1:29" s="113" customFormat="1" ht="15.75" thickBot="1">
      <c r="A8" s="368" t="s">
        <v>2125</v>
      </c>
      <c r="B8" s="369"/>
      <c r="C8" s="374" t="s">
        <v>2227</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495" t="s">
        <v>2127</v>
      </c>
      <c r="Q8" s="3496"/>
      <c r="R8" s="710" t="s">
        <v>17</v>
      </c>
      <c r="S8" s="711">
        <f t="shared" si="0"/>
        <v>0</v>
      </c>
      <c r="T8" s="710" t="s">
        <v>17</v>
      </c>
      <c r="U8" s="711">
        <f t="shared" si="1"/>
        <v>0</v>
      </c>
      <c r="V8" s="710" t="s">
        <v>17</v>
      </c>
      <c r="W8" s="711">
        <f t="shared" si="2"/>
        <v>0</v>
      </c>
      <c r="X8" s="712"/>
      <c r="Y8" s="3495" t="s">
        <v>2127</v>
      </c>
      <c r="Z8" s="3496"/>
      <c r="AA8" s="713" t="e">
        <f t="shared" ref="AA8:AA46" si="3">D8/F8</f>
        <v>#DIV/0!</v>
      </c>
      <c r="AB8" s="713" t="e">
        <f t="shared" ref="AB8:AB46" si="4">D8/H8</f>
        <v>#DIV/0!</v>
      </c>
      <c r="AC8" s="713" t="e">
        <f t="shared" ref="AC8:AC46" si="5">D8/J8</f>
        <v>#DIV/0!</v>
      </c>
    </row>
    <row r="9" spans="1:29" s="113" customFormat="1">
      <c r="A9" s="375" t="s">
        <v>2128</v>
      </c>
      <c r="B9" s="67" t="s">
        <v>2129</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509" t="s">
        <v>2130</v>
      </c>
      <c r="Q9" s="1478" t="str">
        <f t="shared" ref="Q9:Q15" si="6">B9</f>
        <v>用途</v>
      </c>
      <c r="R9" s="710" t="s">
        <v>17</v>
      </c>
      <c r="S9" s="711">
        <f t="shared" si="0"/>
        <v>100</v>
      </c>
      <c r="T9" s="710" t="s">
        <v>17</v>
      </c>
      <c r="U9" s="711">
        <f t="shared" si="1"/>
        <v>100</v>
      </c>
      <c r="V9" s="710" t="s">
        <v>17</v>
      </c>
      <c r="W9" s="711">
        <f t="shared" si="2"/>
        <v>100</v>
      </c>
      <c r="X9" s="712"/>
      <c r="Y9" s="3439"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509"/>
      <c r="Q10" s="1478" t="str">
        <f t="shared" si="6"/>
        <v>土地使用年限（年）</v>
      </c>
      <c r="R10" s="710" t="s">
        <v>17</v>
      </c>
      <c r="S10" s="711">
        <f t="shared" si="0"/>
        <v>100</v>
      </c>
      <c r="T10" s="710" t="s">
        <v>17</v>
      </c>
      <c r="U10" s="711">
        <f t="shared" si="1"/>
        <v>100</v>
      </c>
      <c r="V10" s="710" t="s">
        <v>17</v>
      </c>
      <c r="W10" s="711">
        <f t="shared" si="2"/>
        <v>100</v>
      </c>
      <c r="X10" s="712"/>
      <c r="Y10" s="3439"/>
      <c r="Z10" s="55" t="str">
        <f t="shared" si="7"/>
        <v>土地使用年限（年）</v>
      </c>
      <c r="AA10" s="713">
        <f t="shared" si="3"/>
        <v>1</v>
      </c>
      <c r="AB10" s="713">
        <f t="shared" si="4"/>
        <v>1</v>
      </c>
      <c r="AC10" s="713">
        <f t="shared" si="5"/>
        <v>1</v>
      </c>
    </row>
    <row r="11" spans="1:29" ht="15">
      <c r="A11" s="387"/>
      <c r="B11" s="381" t="s">
        <v>2133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509"/>
      <c r="Q11" s="1478" t="str">
        <f t="shared" si="6"/>
        <v>容积率</v>
      </c>
      <c r="R11" s="710" t="s">
        <v>17</v>
      </c>
      <c r="S11" s="711" t="e">
        <f t="shared" si="0"/>
        <v>#N/A</v>
      </c>
      <c r="T11" s="710" t="s">
        <v>17</v>
      </c>
      <c r="U11" s="711" t="e">
        <f t="shared" si="1"/>
        <v>#N/A</v>
      </c>
      <c r="V11" s="710" t="s">
        <v>17</v>
      </c>
      <c r="W11" s="711" t="e">
        <f t="shared" si="2"/>
        <v>#N/A</v>
      </c>
      <c r="X11" s="712"/>
      <c r="Y11" s="3439"/>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509"/>
      <c r="Q12" s="1478">
        <f t="shared" si="6"/>
        <v>111</v>
      </c>
      <c r="R12" s="710" t="s">
        <v>17</v>
      </c>
      <c r="S12" s="711">
        <f t="shared" si="0"/>
        <v>100</v>
      </c>
      <c r="T12" s="710" t="s">
        <v>17</v>
      </c>
      <c r="U12" s="711">
        <f t="shared" si="1"/>
        <v>100</v>
      </c>
      <c r="V12" s="710" t="s">
        <v>17</v>
      </c>
      <c r="W12" s="711">
        <f t="shared" si="2"/>
        <v>100</v>
      </c>
      <c r="X12" s="712"/>
      <c r="Y12" s="3439"/>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509"/>
      <c r="Q13" s="1478">
        <f t="shared" si="6"/>
        <v>111</v>
      </c>
      <c r="R13" s="710" t="s">
        <v>17</v>
      </c>
      <c r="S13" s="711">
        <f t="shared" si="0"/>
        <v>100</v>
      </c>
      <c r="T13" s="710" t="s">
        <v>17</v>
      </c>
      <c r="U13" s="711">
        <f t="shared" si="1"/>
        <v>100</v>
      </c>
      <c r="V13" s="710" t="s">
        <v>17</v>
      </c>
      <c r="W13" s="711">
        <f t="shared" si="2"/>
        <v>100</v>
      </c>
      <c r="X13" s="712"/>
      <c r="Y13" s="3439"/>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509"/>
      <c r="Q14" s="1478">
        <f t="shared" si="6"/>
        <v>111</v>
      </c>
      <c r="R14" s="710" t="s">
        <v>17</v>
      </c>
      <c r="S14" s="711">
        <f t="shared" si="0"/>
        <v>100</v>
      </c>
      <c r="T14" s="710" t="s">
        <v>17</v>
      </c>
      <c r="U14" s="711">
        <f t="shared" si="1"/>
        <v>100</v>
      </c>
      <c r="V14" s="710" t="s">
        <v>17</v>
      </c>
      <c r="W14" s="711">
        <f t="shared" si="2"/>
        <v>100</v>
      </c>
      <c r="X14" s="712"/>
      <c r="Y14" s="3439"/>
      <c r="Z14" s="55">
        <f t="shared" si="7"/>
        <v>111</v>
      </c>
      <c r="AA14" s="713">
        <f t="shared" si="3"/>
        <v>1</v>
      </c>
      <c r="AB14" s="713">
        <f t="shared" si="4"/>
        <v>1</v>
      </c>
      <c r="AC14" s="713">
        <f t="shared" si="5"/>
        <v>1</v>
      </c>
    </row>
    <row r="15" spans="1:29" ht="15">
      <c r="A15" s="399" t="s">
        <v>2134</v>
      </c>
      <c r="B15" s="65" t="s">
        <v>2228</v>
      </c>
      <c r="C15" s="2032"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536" t="s">
        <v>2135</v>
      </c>
      <c r="Q15" s="1487" t="str">
        <f t="shared" si="6"/>
        <v>商业繁华度</v>
      </c>
      <c r="R15" s="714" t="s">
        <v>17</v>
      </c>
      <c r="S15" s="715">
        <f t="shared" si="0"/>
        <v>100</v>
      </c>
      <c r="T15" s="714" t="s">
        <v>17</v>
      </c>
      <c r="U15" s="715">
        <f t="shared" si="1"/>
        <v>100</v>
      </c>
      <c r="V15" s="714" t="s">
        <v>17</v>
      </c>
      <c r="W15" s="715">
        <f t="shared" si="2"/>
        <v>100</v>
      </c>
      <c r="X15" s="1490"/>
      <c r="Y15" s="3529" t="s">
        <v>2135</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8"/>
      <c r="M16" s="2892"/>
      <c r="N16" s="2892"/>
      <c r="O16" s="2892"/>
      <c r="P16" s="3537"/>
      <c r="Q16" s="1487"/>
      <c r="R16" s="714"/>
      <c r="S16" s="715"/>
      <c r="T16" s="714"/>
      <c r="U16" s="715"/>
      <c r="V16" s="714"/>
      <c r="W16" s="715"/>
      <c r="X16" s="1490"/>
      <c r="Y16" s="3530"/>
      <c r="Z16" s="1491"/>
      <c r="AA16" s="1488">
        <v>1</v>
      </c>
      <c r="AB16" s="1488">
        <v>1</v>
      </c>
      <c r="AC16" s="1488">
        <v>1</v>
      </c>
    </row>
    <row r="17" spans="1:29" ht="15">
      <c r="A17" s="387"/>
      <c r="B17" s="410" t="s">
        <v>1700</v>
      </c>
      <c r="C17" s="2036"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537"/>
      <c r="Q17" s="1487" t="str">
        <f>B17</f>
        <v>交通便捷度</v>
      </c>
      <c r="R17" s="714" t="s">
        <v>17</v>
      </c>
      <c r="S17" s="715">
        <f>F17</f>
        <v>100</v>
      </c>
      <c r="T17" s="714" t="s">
        <v>17</v>
      </c>
      <c r="U17" s="715">
        <f>H17</f>
        <v>100</v>
      </c>
      <c r="V17" s="714" t="s">
        <v>17</v>
      </c>
      <c r="W17" s="715">
        <f>J17</f>
        <v>100</v>
      </c>
      <c r="X17" s="1490"/>
      <c r="Y17" s="3530"/>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8"/>
      <c r="M18" s="2892"/>
      <c r="N18" s="2892"/>
      <c r="O18" s="2892"/>
      <c r="P18" s="3537"/>
      <c r="Q18" s="1487"/>
      <c r="R18" s="714"/>
      <c r="S18" s="715"/>
      <c r="T18" s="714"/>
      <c r="U18" s="715"/>
      <c r="V18" s="714"/>
      <c r="W18" s="715"/>
      <c r="X18" s="1490"/>
      <c r="Y18" s="3530"/>
      <c r="Z18" s="1491"/>
      <c r="AA18" s="1488">
        <v>1</v>
      </c>
      <c r="AB18" s="1488">
        <v>1</v>
      </c>
      <c r="AC18" s="1488">
        <v>1</v>
      </c>
    </row>
    <row r="19" spans="1:29" ht="15">
      <c r="A19" s="387"/>
      <c r="B19" s="410" t="s">
        <v>2229</v>
      </c>
      <c r="C19" s="2036"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537"/>
      <c r="Q19" s="1487" t="str">
        <f>B19</f>
        <v>公共配套设施</v>
      </c>
      <c r="R19" s="714" t="s">
        <v>17</v>
      </c>
      <c r="S19" s="715">
        <f>F19</f>
        <v>100</v>
      </c>
      <c r="T19" s="714" t="s">
        <v>17</v>
      </c>
      <c r="U19" s="715">
        <f>H19</f>
        <v>100</v>
      </c>
      <c r="V19" s="714" t="s">
        <v>17</v>
      </c>
      <c r="W19" s="715">
        <f>J19</f>
        <v>100</v>
      </c>
      <c r="X19" s="1490"/>
      <c r="Y19" s="3530"/>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8"/>
      <c r="M20" s="2892"/>
      <c r="N20" s="2892"/>
      <c r="O20" s="2892"/>
      <c r="P20" s="3537"/>
      <c r="Q20" s="1487"/>
      <c r="R20" s="714"/>
      <c r="S20" s="715"/>
      <c r="T20" s="714"/>
      <c r="U20" s="715"/>
      <c r="V20" s="714"/>
      <c r="W20" s="715"/>
      <c r="X20" s="1490"/>
      <c r="Y20" s="3530"/>
      <c r="Z20" s="1491"/>
      <c r="AA20" s="1488">
        <v>1</v>
      </c>
      <c r="AB20" s="1488">
        <v>1</v>
      </c>
      <c r="AC20" s="1488">
        <v>1</v>
      </c>
    </row>
    <row r="21" spans="1:29" ht="15">
      <c r="A21" s="387"/>
      <c r="B21" s="1246" t="s">
        <v>2230</v>
      </c>
      <c r="C21" s="203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537"/>
      <c r="Q21" s="1487" t="str">
        <f>B21</f>
        <v>基础设施水平</v>
      </c>
      <c r="R21" s="714" t="s">
        <v>17</v>
      </c>
      <c r="S21" s="715">
        <f>F21</f>
        <v>100</v>
      </c>
      <c r="T21" s="714" t="s">
        <v>17</v>
      </c>
      <c r="U21" s="715">
        <f>H21</f>
        <v>100</v>
      </c>
      <c r="V21" s="714" t="s">
        <v>17</v>
      </c>
      <c r="W21" s="715">
        <f>J21</f>
        <v>100</v>
      </c>
      <c r="X21" s="1490"/>
      <c r="Y21" s="3530"/>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8"/>
      <c r="M22" s="2892"/>
      <c r="N22" s="2892"/>
      <c r="O22" s="2892"/>
      <c r="P22" s="3537"/>
      <c r="Q22" s="1487"/>
      <c r="R22" s="714"/>
      <c r="S22" s="715"/>
      <c r="T22" s="714"/>
      <c r="U22" s="715"/>
      <c r="V22" s="714"/>
      <c r="W22" s="715"/>
      <c r="X22" s="1490"/>
      <c r="Y22" s="3530"/>
      <c r="Z22" s="1491"/>
      <c r="AA22" s="1488">
        <v>1</v>
      </c>
      <c r="AB22" s="1488">
        <v>1</v>
      </c>
      <c r="AC22" s="1488">
        <v>1</v>
      </c>
    </row>
    <row r="23" spans="1:29" ht="15">
      <c r="A23" s="387"/>
      <c r="B23" s="410" t="s">
        <v>1702</v>
      </c>
      <c r="C23" s="2091"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537"/>
      <c r="Q23" s="1487" t="str">
        <f>B23</f>
        <v>自然及人文环境</v>
      </c>
      <c r="R23" s="714" t="s">
        <v>17</v>
      </c>
      <c r="S23" s="715">
        <f>F23</f>
        <v>100</v>
      </c>
      <c r="T23" s="714" t="s">
        <v>17</v>
      </c>
      <c r="U23" s="715">
        <f>H23</f>
        <v>100</v>
      </c>
      <c r="V23" s="714" t="s">
        <v>17</v>
      </c>
      <c r="W23" s="715">
        <f>J23</f>
        <v>100</v>
      </c>
      <c r="X23" s="1490"/>
      <c r="Y23" s="3530"/>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8"/>
      <c r="M24" s="2892"/>
      <c r="N24" s="2892"/>
      <c r="O24" s="2892"/>
      <c r="P24" s="3537"/>
      <c r="Q24" s="1487"/>
      <c r="R24" s="714"/>
      <c r="S24" s="715"/>
      <c r="T24" s="714"/>
      <c r="U24" s="715"/>
      <c r="V24" s="714"/>
      <c r="W24" s="715"/>
      <c r="X24" s="1490"/>
      <c r="Y24" s="3530"/>
      <c r="Z24" s="1491"/>
      <c r="AA24" s="1488">
        <v>1</v>
      </c>
      <c r="AB24" s="1488">
        <v>1</v>
      </c>
      <c r="AC24" s="1488">
        <v>1</v>
      </c>
    </row>
    <row r="25" spans="1:29" ht="15">
      <c r="A25" s="387"/>
      <c r="B25" s="381" t="s">
        <v>2231</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537"/>
      <c r="Q25" s="1487" t="str">
        <f t="shared" ref="Q25:Q46" si="11">B25</f>
        <v>临街状况</v>
      </c>
      <c r="R25" s="714" t="s">
        <v>17</v>
      </c>
      <c r="S25" s="715">
        <f>F25</f>
        <v>100</v>
      </c>
      <c r="T25" s="714" t="s">
        <v>17</v>
      </c>
      <c r="U25" s="715">
        <f>H25</f>
        <v>100</v>
      </c>
      <c r="V25" s="714" t="s">
        <v>17</v>
      </c>
      <c r="W25" s="715">
        <f>J25</f>
        <v>100</v>
      </c>
      <c r="X25" s="1490"/>
      <c r="Y25" s="3530"/>
      <c r="Z25" s="1491" t="str">
        <f>Q25</f>
        <v>临街状况</v>
      </c>
      <c r="AA25" s="1488">
        <f t="shared" si="3"/>
        <v>1</v>
      </c>
      <c r="AB25" s="1488">
        <f t="shared" si="4"/>
        <v>1</v>
      </c>
      <c r="AC25" s="1488">
        <f t="shared" si="5"/>
        <v>1</v>
      </c>
    </row>
    <row r="26" spans="1:29" ht="15">
      <c r="A26" s="387"/>
      <c r="B26" s="1248" t="s">
        <v>2232</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37"/>
      <c r="Q26" s="1487" t="str">
        <f t="shared" si="11"/>
        <v>平面位置/可视性</v>
      </c>
      <c r="R26" s="714" t="s">
        <v>17</v>
      </c>
      <c r="S26" s="715">
        <f>F26</f>
        <v>100</v>
      </c>
      <c r="T26" s="714" t="s">
        <v>17</v>
      </c>
      <c r="U26" s="715">
        <f>H26</f>
        <v>100</v>
      </c>
      <c r="V26" s="714" t="s">
        <v>17</v>
      </c>
      <c r="W26" s="715">
        <f>J26</f>
        <v>100</v>
      </c>
      <c r="X26" s="1490"/>
      <c r="Y26" s="3530"/>
      <c r="Z26" s="1491" t="str">
        <f>Q26</f>
        <v>平面位置/可视性</v>
      </c>
      <c r="AA26" s="1488">
        <f t="shared" si="3"/>
        <v>1</v>
      </c>
      <c r="AB26" s="1488">
        <f t="shared" si="4"/>
        <v>1</v>
      </c>
      <c r="AC26" s="1488">
        <f t="shared" si="5"/>
        <v>1</v>
      </c>
    </row>
    <row r="27" spans="1:29" s="113" customFormat="1" ht="15">
      <c r="A27" s="390"/>
      <c r="B27" s="410" t="s">
        <v>2233</v>
      </c>
      <c r="C27" s="2092"/>
      <c r="D27" s="421">
        <v>100</v>
      </c>
      <c r="E27" s="2092"/>
      <c r="F27" s="423">
        <f>SUMIF(90:90,E27,91:91)-SUMIF(90:90,C27,91:91)+100</f>
        <v>100</v>
      </c>
      <c r="G27" s="2092"/>
      <c r="H27" s="421">
        <f>SUMIF(90:90,G27,91:91)-SUMIF(90:90,C27,91:91)+100</f>
        <v>100</v>
      </c>
      <c r="I27" s="2092"/>
      <c r="J27" s="421">
        <f>SUMIF(90:90,I27,91:91)-SUMIF(90:90,C27,91:91)+100</f>
        <v>100</v>
      </c>
      <c r="K27" s="569"/>
      <c r="L27" s="2893"/>
      <c r="M27" s="2894"/>
      <c r="N27" s="2894"/>
      <c r="O27" s="2894"/>
      <c r="P27" s="3537"/>
      <c r="Q27" s="1478" t="str">
        <f t="shared" si="11"/>
        <v>人流量</v>
      </c>
      <c r="R27" s="710" t="s">
        <v>17</v>
      </c>
      <c r="S27" s="711">
        <f>F27</f>
        <v>100</v>
      </c>
      <c r="T27" s="710" t="s">
        <v>17</v>
      </c>
      <c r="U27" s="711">
        <f>H27</f>
        <v>100</v>
      </c>
      <c r="V27" s="710" t="s">
        <v>17</v>
      </c>
      <c r="W27" s="711">
        <f>J27</f>
        <v>100</v>
      </c>
      <c r="X27" s="712"/>
      <c r="Y27" s="3530"/>
      <c r="Z27" s="55" t="str">
        <f>Q27</f>
        <v>人流量</v>
      </c>
      <c r="AA27" s="1488">
        <f>D27/F27</f>
        <v>1</v>
      </c>
      <c r="AB27" s="1488">
        <f>D27/H27</f>
        <v>1</v>
      </c>
      <c r="AC27" s="1488">
        <f>D27/J27</f>
        <v>1</v>
      </c>
    </row>
    <row r="28" spans="1:29" ht="15">
      <c r="A28" s="387"/>
      <c r="B28" s="381" t="s">
        <v>2234</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3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3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37"/>
      <c r="Q29" s="1487">
        <f t="shared" si="11"/>
        <v>111</v>
      </c>
      <c r="R29" s="714" t="s">
        <v>17</v>
      </c>
      <c r="S29" s="715">
        <f t="shared" si="12"/>
        <v>100</v>
      </c>
      <c r="T29" s="714" t="s">
        <v>17</v>
      </c>
      <c r="U29" s="715">
        <f t="shared" si="13"/>
        <v>100</v>
      </c>
      <c r="V29" s="714" t="s">
        <v>17</v>
      </c>
      <c r="W29" s="715">
        <f t="shared" si="14"/>
        <v>100</v>
      </c>
      <c r="X29" s="1490"/>
      <c r="Y29" s="353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37"/>
      <c r="Q30" s="1487">
        <f t="shared" si="11"/>
        <v>111</v>
      </c>
      <c r="R30" s="714" t="s">
        <v>17</v>
      </c>
      <c r="S30" s="715">
        <f t="shared" si="12"/>
        <v>100</v>
      </c>
      <c r="T30" s="714" t="s">
        <v>17</v>
      </c>
      <c r="U30" s="715">
        <f t="shared" si="13"/>
        <v>100</v>
      </c>
      <c r="V30" s="714" t="s">
        <v>17</v>
      </c>
      <c r="W30" s="715">
        <f t="shared" si="14"/>
        <v>100</v>
      </c>
      <c r="X30" s="1490"/>
      <c r="Y30" s="353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37"/>
      <c r="Q31" s="1487">
        <f t="shared" si="11"/>
        <v>111</v>
      </c>
      <c r="R31" s="714" t="s">
        <v>17</v>
      </c>
      <c r="S31" s="715">
        <f t="shared" si="12"/>
        <v>100</v>
      </c>
      <c r="T31" s="714" t="s">
        <v>17</v>
      </c>
      <c r="U31" s="715">
        <f t="shared" si="13"/>
        <v>100</v>
      </c>
      <c r="V31" s="714" t="s">
        <v>17</v>
      </c>
      <c r="W31" s="715">
        <f t="shared" si="14"/>
        <v>100</v>
      </c>
      <c r="X31" s="1490"/>
      <c r="Y31" s="3530"/>
      <c r="Z31" s="1491">
        <f t="shared" si="15"/>
        <v>111</v>
      </c>
      <c r="AA31" s="1488">
        <f t="shared" si="3"/>
        <v>1</v>
      </c>
      <c r="AB31" s="1488">
        <f t="shared" si="4"/>
        <v>1</v>
      </c>
      <c r="AC31" s="1488">
        <f t="shared" si="5"/>
        <v>1</v>
      </c>
    </row>
    <row r="32" spans="1:29" ht="15">
      <c r="A32" s="399" t="s">
        <v>2138</v>
      </c>
      <c r="B32" s="67" t="s">
        <v>2235</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8"/>
      <c r="M32" s="2892"/>
      <c r="N32" s="2892"/>
      <c r="O32" s="2892"/>
      <c r="P32" s="3531" t="s">
        <v>2140</v>
      </c>
      <c r="Q32" s="1487" t="str">
        <f t="shared" si="11"/>
        <v>商业类型</v>
      </c>
      <c r="R32" s="714" t="s">
        <v>17</v>
      </c>
      <c r="S32" s="715">
        <f t="shared" si="12"/>
        <v>100</v>
      </c>
      <c r="T32" s="714" t="s">
        <v>17</v>
      </c>
      <c r="U32" s="715">
        <f t="shared" si="13"/>
        <v>100</v>
      </c>
      <c r="V32" s="714" t="s">
        <v>17</v>
      </c>
      <c r="W32" s="715">
        <f t="shared" si="14"/>
        <v>100</v>
      </c>
      <c r="X32" s="1490"/>
      <c r="Y32" s="3534" t="s">
        <v>2140</v>
      </c>
      <c r="Z32" s="1491" t="str">
        <f t="shared" si="15"/>
        <v>商业类型</v>
      </c>
      <c r="AA32" s="1488">
        <f t="shared" si="3"/>
        <v>1</v>
      </c>
      <c r="AB32" s="1488">
        <f t="shared" si="4"/>
        <v>1</v>
      </c>
      <c r="AC32" s="1488">
        <f t="shared" si="5"/>
        <v>1</v>
      </c>
    </row>
    <row r="33" spans="1:29" s="430" customFormat="1" ht="15">
      <c r="A33" s="427"/>
      <c r="B33" s="381" t="s">
        <v>2141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532"/>
      <c r="Q33" s="716" t="str">
        <f t="shared" si="11"/>
        <v>项目建筑规模</v>
      </c>
      <c r="R33" s="717" t="s">
        <v>17</v>
      </c>
      <c r="S33" s="718" t="e">
        <f t="shared" si="12"/>
        <v>#N/A</v>
      </c>
      <c r="T33" s="717" t="s">
        <v>17</v>
      </c>
      <c r="U33" s="718" t="e">
        <f t="shared" si="13"/>
        <v>#N/A</v>
      </c>
      <c r="V33" s="717" t="s">
        <v>17</v>
      </c>
      <c r="W33" s="718" t="e">
        <f t="shared" si="14"/>
        <v>#N/A</v>
      </c>
      <c r="X33" s="719"/>
      <c r="Y33" s="3534"/>
      <c r="Z33" s="720" t="str">
        <f t="shared" si="15"/>
        <v>项目建筑规模</v>
      </c>
      <c r="AA33" s="1488" t="e">
        <f t="shared" si="3"/>
        <v>#N/A</v>
      </c>
      <c r="AB33" s="1488" t="e">
        <f t="shared" si="4"/>
        <v>#N/A</v>
      </c>
      <c r="AC33" s="1488" t="e">
        <f t="shared" si="5"/>
        <v>#N/A</v>
      </c>
    </row>
    <row r="34" spans="1:29" ht="15">
      <c r="A34" s="431"/>
      <c r="B34" s="381" t="s">
        <v>2142</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8"/>
      <c r="M34" s="2892"/>
      <c r="N34" s="2892"/>
      <c r="O34" s="2892"/>
      <c r="P34" s="3532"/>
      <c r="Q34" s="1487" t="str">
        <f t="shared" si="11"/>
        <v>建筑结构</v>
      </c>
      <c r="R34" s="714" t="s">
        <v>17</v>
      </c>
      <c r="S34" s="715">
        <f t="shared" si="12"/>
        <v>100</v>
      </c>
      <c r="T34" s="714" t="s">
        <v>17</v>
      </c>
      <c r="U34" s="715">
        <f t="shared" si="13"/>
        <v>100</v>
      </c>
      <c r="V34" s="714" t="s">
        <v>17</v>
      </c>
      <c r="W34" s="715">
        <f t="shared" si="14"/>
        <v>100</v>
      </c>
      <c r="X34" s="1490"/>
      <c r="Y34" s="3534"/>
      <c r="Z34" s="1491" t="str">
        <f t="shared" si="15"/>
        <v>建筑结构</v>
      </c>
      <c r="AA34" s="1488">
        <f t="shared" si="3"/>
        <v>1</v>
      </c>
      <c r="AB34" s="1488">
        <f t="shared" si="4"/>
        <v>1</v>
      </c>
      <c r="AC34" s="1488">
        <f t="shared" si="5"/>
        <v>1</v>
      </c>
    </row>
    <row r="35" spans="1:29" ht="15">
      <c r="A35" s="431"/>
      <c r="B35" s="381" t="s">
        <v>2236</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8"/>
      <c r="M35" s="2892"/>
      <c r="N35" s="2892"/>
      <c r="O35" s="2892"/>
      <c r="P35" s="3532"/>
      <c r="Q35" s="1487" t="str">
        <f t="shared" si="11"/>
        <v>公共部分装修</v>
      </c>
      <c r="R35" s="714" t="s">
        <v>17</v>
      </c>
      <c r="S35" s="715">
        <f t="shared" si="12"/>
        <v>100</v>
      </c>
      <c r="T35" s="714" t="s">
        <v>17</v>
      </c>
      <c r="U35" s="715">
        <f t="shared" si="13"/>
        <v>100</v>
      </c>
      <c r="V35" s="714" t="s">
        <v>17</v>
      </c>
      <c r="W35" s="715">
        <f t="shared" si="14"/>
        <v>100</v>
      </c>
      <c r="X35" s="1490"/>
      <c r="Y35" s="3534"/>
      <c r="Z35" s="1491" t="str">
        <f t="shared" si="15"/>
        <v>公共部分装修</v>
      </c>
      <c r="AA35" s="1488">
        <f t="shared" si="3"/>
        <v>1</v>
      </c>
      <c r="AB35" s="1488">
        <f t="shared" si="4"/>
        <v>1</v>
      </c>
      <c r="AC35" s="1488">
        <f t="shared" si="5"/>
        <v>1</v>
      </c>
    </row>
    <row r="36" spans="1:29" ht="15">
      <c r="A36" s="431"/>
      <c r="B36" s="381" t="s">
        <v>2237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532"/>
      <c r="Q36" s="1487" t="str">
        <f t="shared" si="11"/>
        <v>成新度</v>
      </c>
      <c r="R36" s="714" t="s">
        <v>17</v>
      </c>
      <c r="S36" s="715" t="e">
        <f t="shared" si="12"/>
        <v>#N/A</v>
      </c>
      <c r="T36" s="714" t="s">
        <v>17</v>
      </c>
      <c r="U36" s="715" t="e">
        <f t="shared" si="13"/>
        <v>#N/A</v>
      </c>
      <c r="V36" s="714" t="s">
        <v>17</v>
      </c>
      <c r="W36" s="715" t="e">
        <f t="shared" si="14"/>
        <v>#N/A</v>
      </c>
      <c r="X36" s="1490"/>
      <c r="Y36" s="3534"/>
      <c r="Z36" s="1491" t="str">
        <f t="shared" si="15"/>
        <v>成新度</v>
      </c>
      <c r="AA36" s="1488" t="e">
        <f t="shared" si="3"/>
        <v>#N/A</v>
      </c>
      <c r="AB36" s="1488" t="e">
        <f t="shared" si="4"/>
        <v>#N/A</v>
      </c>
      <c r="AC36" s="1488" t="e">
        <f t="shared" si="5"/>
        <v>#N/A</v>
      </c>
    </row>
    <row r="37" spans="1:29" s="113" customFormat="1" ht="15">
      <c r="A37" s="432"/>
      <c r="B37" s="381" t="s">
        <v>2238</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3"/>
      <c r="M37" s="2894"/>
      <c r="N37" s="2894"/>
      <c r="O37" s="2894"/>
      <c r="P37" s="3532"/>
      <c r="Q37" s="1478" t="str">
        <f t="shared" si="11"/>
        <v>市政基础设施</v>
      </c>
      <c r="R37" s="710" t="s">
        <v>17</v>
      </c>
      <c r="S37" s="711">
        <f t="shared" si="12"/>
        <v>100</v>
      </c>
      <c r="T37" s="710" t="s">
        <v>17</v>
      </c>
      <c r="U37" s="711">
        <f t="shared" si="13"/>
        <v>100</v>
      </c>
      <c r="V37" s="710" t="s">
        <v>17</v>
      </c>
      <c r="W37" s="711">
        <f t="shared" si="14"/>
        <v>100</v>
      </c>
      <c r="X37" s="712"/>
      <c r="Y37" s="3534"/>
      <c r="Z37" s="55" t="str">
        <f t="shared" si="15"/>
        <v>市政基础设施</v>
      </c>
      <c r="AA37" s="713">
        <f t="shared" si="3"/>
        <v>1</v>
      </c>
      <c r="AB37" s="713">
        <f t="shared" si="4"/>
        <v>1</v>
      </c>
      <c r="AC37" s="713">
        <f t="shared" si="5"/>
        <v>1</v>
      </c>
    </row>
    <row r="38" spans="1:29" ht="15">
      <c r="A38" s="431"/>
      <c r="B38" s="381" t="s">
        <v>2239</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8"/>
      <c r="M38" s="2892"/>
      <c r="N38" s="2892"/>
      <c r="O38" s="2892"/>
      <c r="P38" s="3532" t="s">
        <v>2140</v>
      </c>
      <c r="Q38" s="1487" t="str">
        <f t="shared" si="11"/>
        <v>业态</v>
      </c>
      <c r="R38" s="714" t="s">
        <v>17</v>
      </c>
      <c r="S38" s="715">
        <f t="shared" si="12"/>
        <v>100</v>
      </c>
      <c r="T38" s="714" t="s">
        <v>17</v>
      </c>
      <c r="U38" s="715">
        <f t="shared" si="13"/>
        <v>100</v>
      </c>
      <c r="V38" s="714" t="s">
        <v>17</v>
      </c>
      <c r="W38" s="715">
        <f t="shared" si="14"/>
        <v>100</v>
      </c>
      <c r="X38" s="1490"/>
      <c r="Y38" s="3534" t="s">
        <v>2140</v>
      </c>
      <c r="Z38" s="1491" t="str">
        <f t="shared" si="15"/>
        <v>业态</v>
      </c>
      <c r="AA38" s="1488">
        <f t="shared" si="3"/>
        <v>1</v>
      </c>
      <c r="AB38" s="1488">
        <f t="shared" si="4"/>
        <v>1</v>
      </c>
      <c r="AC38" s="1488">
        <f t="shared" si="5"/>
        <v>1</v>
      </c>
    </row>
    <row r="39" spans="1:29" ht="15">
      <c r="A39" s="431"/>
      <c r="B39" s="381" t="s">
        <v>2240</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8"/>
      <c r="M39" s="2892"/>
      <c r="N39" s="2892"/>
      <c r="O39" s="2892"/>
      <c r="P39" s="3532"/>
      <c r="Q39" s="1487" t="str">
        <f t="shared" si="11"/>
        <v>层高</v>
      </c>
      <c r="R39" s="714" t="s">
        <v>17</v>
      </c>
      <c r="S39" s="715">
        <f t="shared" si="12"/>
        <v>100</v>
      </c>
      <c r="T39" s="714" t="s">
        <v>17</v>
      </c>
      <c r="U39" s="715">
        <f t="shared" si="13"/>
        <v>100</v>
      </c>
      <c r="V39" s="714" t="s">
        <v>17</v>
      </c>
      <c r="W39" s="715">
        <f t="shared" si="14"/>
        <v>100</v>
      </c>
      <c r="X39" s="1490"/>
      <c r="Y39" s="3534"/>
      <c r="Z39" s="1491" t="str">
        <f t="shared" si="15"/>
        <v>层高</v>
      </c>
      <c r="AA39" s="1488">
        <f t="shared" si="3"/>
        <v>1</v>
      </c>
      <c r="AB39" s="1488">
        <f t="shared" si="4"/>
        <v>1</v>
      </c>
      <c r="AC39" s="1488">
        <f t="shared" si="5"/>
        <v>1</v>
      </c>
    </row>
    <row r="40" spans="1:29" ht="15">
      <c r="A40" s="431"/>
      <c r="B40" s="381" t="s">
        <v>2241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532"/>
      <c r="Q40" s="1487" t="str">
        <f t="shared" si="11"/>
        <v>单套建筑面积</v>
      </c>
      <c r="R40" s="714" t="s">
        <v>17</v>
      </c>
      <c r="S40" s="715">
        <f t="shared" si="12"/>
        <v>100</v>
      </c>
      <c r="T40" s="714" t="s">
        <v>17</v>
      </c>
      <c r="U40" s="715">
        <f t="shared" si="13"/>
        <v>100</v>
      </c>
      <c r="V40" s="714" t="s">
        <v>17</v>
      </c>
      <c r="W40" s="715">
        <f t="shared" si="14"/>
        <v>100</v>
      </c>
      <c r="X40" s="1490"/>
      <c r="Y40" s="3534"/>
      <c r="Z40" s="1491" t="str">
        <f t="shared" si="15"/>
        <v>单套建筑面积</v>
      </c>
      <c r="AA40" s="1488">
        <f t="shared" si="3"/>
        <v>1</v>
      </c>
      <c r="AB40" s="1488">
        <f t="shared" si="4"/>
        <v>1</v>
      </c>
      <c r="AC40" s="1488">
        <f t="shared" si="5"/>
        <v>1</v>
      </c>
    </row>
    <row r="41" spans="1:29" s="430" customFormat="1" ht="15">
      <c r="A41" s="427"/>
      <c r="B41" s="1489" t="s">
        <v>2242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532"/>
      <c r="Q41" s="716" t="str">
        <f t="shared" si="11"/>
        <v>进深比</v>
      </c>
      <c r="R41" s="717" t="s">
        <v>17</v>
      </c>
      <c r="S41" s="718">
        <f t="shared" si="12"/>
        <v>100</v>
      </c>
      <c r="T41" s="717" t="s">
        <v>17</v>
      </c>
      <c r="U41" s="718">
        <f t="shared" si="13"/>
        <v>100</v>
      </c>
      <c r="V41" s="717" t="s">
        <v>17</v>
      </c>
      <c r="W41" s="718">
        <f t="shared" si="14"/>
        <v>100</v>
      </c>
      <c r="X41" s="719"/>
      <c r="Y41" s="3534"/>
      <c r="Z41" s="720" t="str">
        <f t="shared" si="15"/>
        <v>进深比</v>
      </c>
      <c r="AA41" s="1488">
        <f t="shared" si="3"/>
        <v>1</v>
      </c>
      <c r="AB41" s="1488">
        <f t="shared" si="4"/>
        <v>1</v>
      </c>
      <c r="AC41" s="1488">
        <f t="shared" si="5"/>
        <v>1</v>
      </c>
    </row>
    <row r="42" spans="1:29" ht="15">
      <c r="A42" s="431"/>
      <c r="B42" s="381" t="s">
        <v>2243</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8"/>
      <c r="M42" s="2892"/>
      <c r="N42" s="2892"/>
      <c r="O42" s="2892"/>
      <c r="P42" s="3532"/>
      <c r="Q42" s="1487" t="str">
        <f t="shared" si="11"/>
        <v>内部装修</v>
      </c>
      <c r="R42" s="714" t="s">
        <v>17</v>
      </c>
      <c r="S42" s="715">
        <f t="shared" si="12"/>
        <v>100</v>
      </c>
      <c r="T42" s="714" t="s">
        <v>17</v>
      </c>
      <c r="U42" s="715">
        <f t="shared" si="13"/>
        <v>100</v>
      </c>
      <c r="V42" s="714" t="s">
        <v>17</v>
      </c>
      <c r="W42" s="715">
        <f t="shared" si="14"/>
        <v>100</v>
      </c>
      <c r="X42" s="1490"/>
      <c r="Y42" s="3534"/>
      <c r="Z42" s="1491" t="str">
        <f t="shared" si="15"/>
        <v>内部装修</v>
      </c>
      <c r="AA42" s="1488">
        <f t="shared" si="3"/>
        <v>1</v>
      </c>
      <c r="AB42" s="1488">
        <f t="shared" si="4"/>
        <v>1</v>
      </c>
      <c r="AC42" s="1488">
        <f t="shared" si="5"/>
        <v>1</v>
      </c>
    </row>
    <row r="43" spans="1:29" ht="15">
      <c r="A43" s="431"/>
      <c r="B43" s="381" t="s">
        <v>2151</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8"/>
      <c r="M43" s="2892"/>
      <c r="N43" s="2892"/>
      <c r="O43" s="2892"/>
      <c r="P43" s="3532"/>
      <c r="Q43" s="1487" t="str">
        <f t="shared" si="11"/>
        <v>内部装修维护情况</v>
      </c>
      <c r="R43" s="714" t="s">
        <v>17</v>
      </c>
      <c r="S43" s="715">
        <f t="shared" si="12"/>
        <v>100</v>
      </c>
      <c r="T43" s="714" t="s">
        <v>17</v>
      </c>
      <c r="U43" s="715">
        <f t="shared" si="13"/>
        <v>100</v>
      </c>
      <c r="V43" s="714" t="s">
        <v>17</v>
      </c>
      <c r="W43" s="715">
        <f t="shared" si="14"/>
        <v>100</v>
      </c>
      <c r="X43" s="1490"/>
      <c r="Y43" s="353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532"/>
      <c r="Q44" s="1478">
        <f t="shared" si="11"/>
        <v>111</v>
      </c>
      <c r="R44" s="710" t="s">
        <v>17</v>
      </c>
      <c r="S44" s="711">
        <f t="shared" si="12"/>
        <v>100</v>
      </c>
      <c r="T44" s="710" t="s">
        <v>17</v>
      </c>
      <c r="U44" s="711">
        <f t="shared" si="13"/>
        <v>100</v>
      </c>
      <c r="V44" s="710" t="s">
        <v>17</v>
      </c>
      <c r="W44" s="711">
        <f t="shared" si="14"/>
        <v>100</v>
      </c>
      <c r="X44" s="712"/>
      <c r="Y44" s="353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532"/>
      <c r="Q45" s="1487">
        <f t="shared" si="11"/>
        <v>111</v>
      </c>
      <c r="R45" s="714" t="s">
        <v>17</v>
      </c>
      <c r="S45" s="715">
        <f t="shared" si="12"/>
        <v>100</v>
      </c>
      <c r="T45" s="714" t="s">
        <v>17</v>
      </c>
      <c r="U45" s="715">
        <f t="shared" si="13"/>
        <v>100</v>
      </c>
      <c r="V45" s="714" t="s">
        <v>17</v>
      </c>
      <c r="W45" s="715">
        <f t="shared" si="14"/>
        <v>100</v>
      </c>
      <c r="X45" s="1490"/>
      <c r="Y45" s="3534"/>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533"/>
      <c r="Q46" s="1487">
        <f t="shared" si="11"/>
        <v>111</v>
      </c>
      <c r="R46" s="714" t="s">
        <v>17</v>
      </c>
      <c r="S46" s="715">
        <f t="shared" si="12"/>
        <v>100</v>
      </c>
      <c r="T46" s="714" t="s">
        <v>17</v>
      </c>
      <c r="U46" s="715">
        <f t="shared" si="13"/>
        <v>100</v>
      </c>
      <c r="V46" s="714" t="s">
        <v>17</v>
      </c>
      <c r="W46" s="715">
        <f t="shared" si="14"/>
        <v>100</v>
      </c>
      <c r="X46" s="1490"/>
      <c r="Y46" s="3535"/>
      <c r="Z46" s="1491">
        <f t="shared" si="15"/>
        <v>111</v>
      </c>
      <c r="AA46" s="1488">
        <f t="shared" si="3"/>
        <v>1</v>
      </c>
      <c r="AB46" s="1488">
        <f t="shared" si="4"/>
        <v>1</v>
      </c>
      <c r="AC46" s="1488">
        <f t="shared" si="5"/>
        <v>1</v>
      </c>
    </row>
    <row r="47" spans="1:29" ht="15">
      <c r="A47" s="438" t="s">
        <v>2152</v>
      </c>
      <c r="B47" s="439"/>
      <c r="C47" s="1269" t="s">
        <v>1</v>
      </c>
      <c r="D47" s="1270"/>
      <c r="E47" s="1271"/>
      <c r="F47" s="1272"/>
      <c r="G47" s="1273"/>
      <c r="H47" s="1274"/>
      <c r="I47" s="1271"/>
      <c r="J47" s="1274"/>
      <c r="K47" s="723"/>
      <c r="L47" s="2900"/>
      <c r="M47" s="2901"/>
      <c r="N47" s="2892"/>
      <c r="O47" s="2901"/>
      <c r="P47" s="3527" t="str">
        <f>A47</f>
        <v>成交单价（元/平方米）</v>
      </c>
      <c r="Q47" s="3527"/>
      <c r="R47" s="3522">
        <f>E47</f>
        <v>0</v>
      </c>
      <c r="S47" s="3522"/>
      <c r="T47" s="3522">
        <f>G47</f>
        <v>0</v>
      </c>
      <c r="U47" s="3522"/>
      <c r="V47" s="3522">
        <f>I47</f>
        <v>0</v>
      </c>
      <c r="W47" s="3522"/>
      <c r="X47" s="699"/>
      <c r="Y47" s="721"/>
      <c r="Z47" s="699"/>
      <c r="AA47" s="699"/>
      <c r="AB47" s="699"/>
      <c r="AC47" s="699"/>
    </row>
    <row r="48" spans="1:29" ht="15.75" thickBot="1">
      <c r="A48" s="445" t="s">
        <v>2244</v>
      </c>
      <c r="B48" s="446"/>
      <c r="C48" s="1275" t="e">
        <f>R49</f>
        <v>#DIV/0!</v>
      </c>
      <c r="D48" s="2488" t="s">
        <v>2634</v>
      </c>
      <c r="E48" s="1276" t="e">
        <f>R48</f>
        <v>#DIV/0!</v>
      </c>
      <c r="F48" s="2489"/>
      <c r="G48" s="1275" t="e">
        <f>T48</f>
        <v>#DIV/0!</v>
      </c>
      <c r="H48" s="2489"/>
      <c r="I48" s="1276" t="e">
        <f>V48</f>
        <v>#DIV/0!</v>
      </c>
      <c r="J48" s="2489"/>
      <c r="K48" s="2491">
        <f>F48+H48+J48</f>
        <v>0</v>
      </c>
      <c r="L48" s="2900"/>
      <c r="M48" s="2901"/>
      <c r="N48" s="2892"/>
      <c r="O48" s="2901"/>
      <c r="P48" s="3527" t="str">
        <f>A48</f>
        <v>比较价值（元/平方米）</v>
      </c>
      <c r="Q48" s="3527"/>
      <c r="R48" s="3528" t="e">
        <f>IF(F1="售价",ROUND(PRODUCT(R47,AA7:AA46),0),ROUND(PRODUCT(R47,AA7:AA46),1))</f>
        <v>#DIV/0!</v>
      </c>
      <c r="S48" s="3528"/>
      <c r="T48" s="3528" t="e">
        <f>IF(F1="售价",ROUND(PRODUCT(T47,AB7:AB46),0),ROUND(PRODUCT(T47,AB7:AB46),1))</f>
        <v>#DIV/0!</v>
      </c>
      <c r="U48" s="3528"/>
      <c r="V48" s="3528" t="e">
        <f>IF(F1="售价",ROUND(PRODUCT(V47,AC7:AC46),0),ROUND(PRODUCT(V47,AC7:AC46),1))</f>
        <v>#DIV/0!</v>
      </c>
      <c r="W48" s="3528"/>
      <c r="X48" s="699"/>
      <c r="Y48" s="699"/>
      <c r="Z48" s="699"/>
      <c r="AA48" s="699"/>
      <c r="AB48" s="699"/>
      <c r="AC48" s="699"/>
    </row>
    <row r="49" spans="1:29" ht="15.75" thickBot="1">
      <c r="A49" s="449" t="s">
        <v>2245</v>
      </c>
      <c r="B49" s="450"/>
      <c r="C49" s="1278" t="e">
        <f>R49</f>
        <v>#DIV/0!</v>
      </c>
      <c r="D49" s="1278"/>
      <c r="E49" s="1278"/>
      <c r="F49" s="1278"/>
      <c r="G49" s="1278"/>
      <c r="H49" s="1278"/>
      <c r="I49" s="1278"/>
      <c r="J49" s="1278"/>
      <c r="K49" s="724"/>
      <c r="L49" s="2900"/>
      <c r="M49" s="2901"/>
      <c r="N49" s="2892"/>
      <c r="O49" s="2901"/>
      <c r="P49" s="3524" t="str">
        <f>A49</f>
        <v>估价对象XX用房的比较价值（楼面单价，元/平方米）</v>
      </c>
      <c r="Q49" s="3525"/>
      <c r="R49" s="3526" t="e">
        <f>IF(F1="售价",ROUND(IF(D48="简单平均",AVERAGE(R48:V48),R48*F48+T48*H48+V48*J48),0),ROUND(IF(D48="简单平均",AVERAGE(R48:V48),R48*F48+T48*H48+V48*J48),1))</f>
        <v>#DIV/0!</v>
      </c>
      <c r="S49" s="3526"/>
      <c r="T49" s="3526"/>
      <c r="U49" s="3526"/>
      <c r="V49" s="3526"/>
      <c r="W49" s="3526"/>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2246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2247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2248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2249</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2123</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6"/>
      <c r="Q58" s="2917"/>
      <c r="R58" s="2917"/>
      <c r="S58" s="2917"/>
      <c r="T58" s="2917"/>
      <c r="U58" s="2917"/>
      <c r="V58" s="2917"/>
      <c r="W58" s="2917"/>
      <c r="X58" s="2917"/>
      <c r="Y58" s="2917"/>
      <c r="Z58" s="2917"/>
      <c r="AA58" s="2917"/>
      <c r="AB58" s="2917"/>
      <c r="AC58" s="2917"/>
    </row>
    <row r="59" spans="1:29" s="113" customFormat="1" ht="15">
      <c r="A59" s="466"/>
      <c r="B59" s="467"/>
      <c r="C59" s="1298">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2160</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2125</v>
      </c>
      <c r="B61" s="467"/>
      <c r="C61" s="479" t="s">
        <v>2227</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2163</v>
      </c>
      <c r="B63" s="485" t="s">
        <v>2129</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2132</v>
      </c>
      <c r="C65" s="496" t="s">
        <v>2164</v>
      </c>
      <c r="D65" s="496" t="s">
        <v>2165</v>
      </c>
      <c r="E65" s="496" t="s">
        <v>2166</v>
      </c>
      <c r="F65" s="496" t="s">
        <v>2167</v>
      </c>
      <c r="G65" s="496" t="s">
        <v>2168</v>
      </c>
      <c r="H65" s="496" t="s">
        <v>2169</v>
      </c>
      <c r="I65" s="496" t="s">
        <v>2170</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2134</v>
      </c>
      <c r="B76" s="485" t="s">
        <v>2171</v>
      </c>
      <c r="C76" s="530" t="s">
        <v>2172</v>
      </c>
      <c r="D76" s="530" t="s">
        <v>2173</v>
      </c>
      <c r="E76" s="530" t="s">
        <v>2174</v>
      </c>
      <c r="F76" s="530" t="s">
        <v>2175</v>
      </c>
      <c r="G76" s="530" t="s">
        <v>2176</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2177</v>
      </c>
      <c r="C78" s="535" t="s">
        <v>2172</v>
      </c>
      <c r="D78" s="535" t="s">
        <v>2173</v>
      </c>
      <c r="E78" s="535" t="s">
        <v>2174</v>
      </c>
      <c r="F78" s="535" t="s">
        <v>2175</v>
      </c>
      <c r="G78" s="535" t="s">
        <v>2176</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2178</v>
      </c>
      <c r="C80" s="535" t="s">
        <v>2172</v>
      </c>
      <c r="D80" s="535" t="s">
        <v>2173</v>
      </c>
      <c r="E80" s="535" t="s">
        <v>2174</v>
      </c>
      <c r="F80" s="535" t="s">
        <v>2175</v>
      </c>
      <c r="G80" s="535" t="s">
        <v>2176</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2230</v>
      </c>
      <c r="C82" s="616" t="s">
        <v>2250</v>
      </c>
      <c r="D82" s="616" t="s">
        <v>2251</v>
      </c>
      <c r="E82" s="616" t="s">
        <v>2252</v>
      </c>
      <c r="F82" s="616" t="s">
        <v>2253</v>
      </c>
      <c r="G82" s="616" t="s">
        <v>2254</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2184</v>
      </c>
      <c r="C84" s="535" t="s">
        <v>2172</v>
      </c>
      <c r="D84" s="535" t="s">
        <v>2173</v>
      </c>
      <c r="E84" s="535" t="s">
        <v>2174</v>
      </c>
      <c r="F84" s="535" t="s">
        <v>2175</v>
      </c>
      <c r="G84" s="535" t="s">
        <v>2176</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2255</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2138</v>
      </c>
      <c r="B100" s="485" t="s">
        <v>2256</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2188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2189</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2191</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2193</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2257</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2258</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2259</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2260</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2195</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2196</v>
      </c>
      <c r="C124" s="535" t="s">
        <v>2172</v>
      </c>
      <c r="D124" s="535" t="s">
        <v>2173</v>
      </c>
      <c r="E124" s="535" t="s">
        <v>2174</v>
      </c>
      <c r="F124" s="535" t="s">
        <v>2175</v>
      </c>
      <c r="G124" s="535" t="s">
        <v>2176</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2261</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1903</v>
      </c>
      <c r="B2" s="1279" t="e">
        <f ca="1">IF(C2="——",ROUND(C50*D3/10000,0),ROUND(C50*D3/10000,0)-D2)</f>
        <v>#DIV/0!</v>
      </c>
      <c r="C2" s="2017"/>
      <c r="D2" s="1228" t="e">
        <f ca="1">SUMIF(INDIRECT("'"&amp;F2&amp;"'"&amp;"!A:A"),"承租人权益价值",INDIRECT("'"&amp;F2&amp;"'"&amp;"!c:c"))</f>
        <v>#REF!</v>
      </c>
      <c r="E2" s="2018" t="s">
        <v>1904</v>
      </c>
      <c r="F2" s="2019"/>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1905</v>
      </c>
      <c r="B3" s="566" t="e">
        <f ca="1">IF(C2="——",C50,ROUND(B2*10000/D3,0))</f>
        <v>#DIV/0!</v>
      </c>
      <c r="C3" s="360" t="s">
        <v>2219</v>
      </c>
      <c r="D3" s="359">
        <f>IF(D1="",'数据-汇总表'!E3,SUMIF('数据-汇总表'!$C19:$C33,D1,'数据-汇总表'!$E19:$E33))</f>
        <v>58300.299999999996</v>
      </c>
      <c r="E3" s="2090"/>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2220</v>
      </c>
      <c r="B4" s="362"/>
      <c r="C4" s="3510" t="s">
        <v>2221</v>
      </c>
      <c r="D4" s="3511"/>
      <c r="E4" s="3512" t="s">
        <v>2222</v>
      </c>
      <c r="F4" s="3513"/>
      <c r="G4" s="3510" t="s">
        <v>2223</v>
      </c>
      <c r="H4" s="3511"/>
      <c r="I4" s="3510" t="s">
        <v>2224</v>
      </c>
      <c r="J4" s="3511"/>
      <c r="K4" s="567" t="s">
        <v>2225</v>
      </c>
      <c r="L4" s="2891"/>
      <c r="M4" s="2892"/>
      <c r="N4" s="2892"/>
      <c r="O4" s="2892"/>
      <c r="P4" s="3544" t="s">
        <v>2226</v>
      </c>
      <c r="Q4" s="3545"/>
      <c r="R4" s="3539" t="s">
        <v>2222</v>
      </c>
      <c r="S4" s="3540"/>
      <c r="T4" s="3539" t="s">
        <v>2223</v>
      </c>
      <c r="U4" s="3540"/>
      <c r="V4" s="3548" t="s">
        <v>2224</v>
      </c>
      <c r="W4" s="3548"/>
      <c r="X4" s="2094"/>
      <c r="Y4" s="3539" t="s">
        <v>2226</v>
      </c>
      <c r="Z4" s="3540"/>
      <c r="AA4" s="3538" t="s">
        <v>2222</v>
      </c>
      <c r="AB4" s="3538" t="s">
        <v>2223</v>
      </c>
      <c r="AC4" s="3541" t="s">
        <v>2224</v>
      </c>
    </row>
    <row r="5" spans="1:29" ht="15">
      <c r="A5" s="364"/>
      <c r="B5" s="365"/>
      <c r="C5" s="3503" t="s">
        <v>2117</v>
      </c>
      <c r="D5" s="3504"/>
      <c r="E5" s="3501" t="s">
        <v>2118</v>
      </c>
      <c r="F5" s="3502"/>
      <c r="G5" s="3503" t="s">
        <v>2119</v>
      </c>
      <c r="H5" s="3504"/>
      <c r="I5" s="3503" t="s">
        <v>2120</v>
      </c>
      <c r="J5" s="3504"/>
      <c r="K5" s="567"/>
      <c r="L5" s="2891"/>
      <c r="M5" s="2892"/>
      <c r="N5" s="2892"/>
      <c r="O5" s="2892"/>
      <c r="P5" s="3546"/>
      <c r="Q5" s="3517"/>
      <c r="R5" s="3499"/>
      <c r="S5" s="3500"/>
      <c r="T5" s="3499"/>
      <c r="U5" s="3500"/>
      <c r="V5" s="3522"/>
      <c r="W5" s="3522"/>
      <c r="X5" s="1490"/>
      <c r="Y5" s="3499"/>
      <c r="Z5" s="3500"/>
      <c r="AA5" s="3493"/>
      <c r="AB5" s="3493"/>
      <c r="AC5" s="3542"/>
    </row>
    <row r="6" spans="1:29" ht="15.75" thickBot="1">
      <c r="A6" s="366"/>
      <c r="B6" s="367"/>
      <c r="C6" s="3505" t="s">
        <v>2121</v>
      </c>
      <c r="D6" s="3506"/>
      <c r="E6" s="3507" t="s">
        <v>2121</v>
      </c>
      <c r="F6" s="3508"/>
      <c r="G6" s="3505" t="s">
        <v>2121</v>
      </c>
      <c r="H6" s="3506"/>
      <c r="I6" s="3505" t="s">
        <v>2121</v>
      </c>
      <c r="J6" s="3506"/>
      <c r="K6" s="567" t="s">
        <v>2122</v>
      </c>
      <c r="L6" s="2891"/>
      <c r="M6" s="2892"/>
      <c r="N6" s="2892"/>
      <c r="O6" s="2892"/>
      <c r="P6" s="3547"/>
      <c r="Q6" s="3519"/>
      <c r="R6" s="3499"/>
      <c r="S6" s="3500"/>
      <c r="T6" s="3520"/>
      <c r="U6" s="3521"/>
      <c r="V6" s="3522"/>
      <c r="W6" s="3522"/>
      <c r="X6" s="1490"/>
      <c r="Y6" s="3520"/>
      <c r="Z6" s="3521"/>
      <c r="AA6" s="3494"/>
      <c r="AB6" s="3494"/>
      <c r="AC6" s="3543"/>
    </row>
    <row r="7" spans="1:29" s="113" customFormat="1" ht="15.75" thickBot="1">
      <c r="A7" s="368" t="s">
        <v>2123</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49" t="s">
        <v>2124</v>
      </c>
      <c r="Q7" s="3523"/>
      <c r="R7" s="710" t="s">
        <v>17</v>
      </c>
      <c r="S7" s="711">
        <f t="shared" ref="S7:S15" si="0">F7</f>
        <v>0</v>
      </c>
      <c r="T7" s="710" t="s">
        <v>17</v>
      </c>
      <c r="U7" s="711">
        <f t="shared" ref="U7:U15" si="1">H7</f>
        <v>0</v>
      </c>
      <c r="V7" s="710" t="s">
        <v>17</v>
      </c>
      <c r="W7" s="711">
        <f t="shared" ref="W7:W15" si="2">J7</f>
        <v>0</v>
      </c>
      <c r="X7" s="712"/>
      <c r="Y7" s="3495" t="s">
        <v>2124</v>
      </c>
      <c r="Z7" s="3496"/>
      <c r="AA7" s="713" t="e">
        <f>D7/F7</f>
        <v>#DIV/0!</v>
      </c>
      <c r="AB7" s="713" t="e">
        <f>D7/H7</f>
        <v>#DIV/0!</v>
      </c>
      <c r="AC7" s="2095" t="e">
        <f>D7/J7</f>
        <v>#DIV/0!</v>
      </c>
    </row>
    <row r="8" spans="1:29" s="113" customFormat="1" ht="15.75" thickBot="1">
      <c r="A8" s="368" t="s">
        <v>2125</v>
      </c>
      <c r="B8" s="369"/>
      <c r="C8" s="374" t="s">
        <v>2227</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49" t="s">
        <v>2127</v>
      </c>
      <c r="Q8" s="3496"/>
      <c r="R8" s="710" t="s">
        <v>17</v>
      </c>
      <c r="S8" s="711">
        <f t="shared" si="0"/>
        <v>0</v>
      </c>
      <c r="T8" s="710" t="s">
        <v>17</v>
      </c>
      <c r="U8" s="711">
        <f t="shared" si="1"/>
        <v>0</v>
      </c>
      <c r="V8" s="710" t="s">
        <v>17</v>
      </c>
      <c r="W8" s="711">
        <f t="shared" si="2"/>
        <v>0</v>
      </c>
      <c r="X8" s="712"/>
      <c r="Y8" s="3495" t="s">
        <v>2127</v>
      </c>
      <c r="Z8" s="3496"/>
      <c r="AA8" s="713" t="e">
        <f t="shared" ref="AA8:AA47" si="3">D8/F8</f>
        <v>#DIV/0!</v>
      </c>
      <c r="AB8" s="713" t="e">
        <f t="shared" ref="AB8:AB47" si="4">D8/H8</f>
        <v>#DIV/0!</v>
      </c>
      <c r="AC8" s="2095" t="e">
        <f t="shared" ref="AC8:AC47" si="5">D8/J8</f>
        <v>#DIV/0!</v>
      </c>
    </row>
    <row r="9" spans="1:29" s="113" customFormat="1">
      <c r="A9" s="375" t="s">
        <v>2128</v>
      </c>
      <c r="B9" s="67" t="s">
        <v>2129</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509" t="s">
        <v>2130</v>
      </c>
      <c r="Q9" s="1478" t="str">
        <f t="shared" ref="Q9:Q15" si="6">B9</f>
        <v>用途</v>
      </c>
      <c r="R9" s="710" t="s">
        <v>17</v>
      </c>
      <c r="S9" s="711">
        <f t="shared" si="0"/>
        <v>100</v>
      </c>
      <c r="T9" s="710" t="s">
        <v>17</v>
      </c>
      <c r="U9" s="711">
        <f t="shared" si="1"/>
        <v>100</v>
      </c>
      <c r="V9" s="710" t="s">
        <v>17</v>
      </c>
      <c r="W9" s="711">
        <f t="shared" si="2"/>
        <v>100</v>
      </c>
      <c r="X9" s="712"/>
      <c r="Y9" s="3439" t="s">
        <v>2131</v>
      </c>
      <c r="Z9" s="55" t="str">
        <f t="shared" ref="Z9:Z15" si="7">Q9</f>
        <v>用途</v>
      </c>
      <c r="AA9" s="713">
        <f t="shared" si="3"/>
        <v>1</v>
      </c>
      <c r="AB9" s="713">
        <f t="shared" si="4"/>
        <v>1</v>
      </c>
      <c r="AC9" s="2095">
        <f t="shared" si="5"/>
        <v>1</v>
      </c>
    </row>
    <row r="10" spans="1:29" s="386" customFormat="1" ht="27">
      <c r="A10" s="380"/>
      <c r="B10" s="381" t="s">
        <v>2132</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509"/>
      <c r="Q10" s="1478" t="str">
        <f t="shared" si="6"/>
        <v>土地使用年限（年）</v>
      </c>
      <c r="R10" s="710" t="s">
        <v>17</v>
      </c>
      <c r="S10" s="711">
        <f t="shared" si="0"/>
        <v>100</v>
      </c>
      <c r="T10" s="710" t="s">
        <v>17</v>
      </c>
      <c r="U10" s="711">
        <f t="shared" si="1"/>
        <v>100</v>
      </c>
      <c r="V10" s="710" t="s">
        <v>17</v>
      </c>
      <c r="W10" s="711">
        <f t="shared" si="2"/>
        <v>100</v>
      </c>
      <c r="X10" s="712"/>
      <c r="Y10" s="3439"/>
      <c r="Z10" s="55" t="str">
        <f t="shared" si="7"/>
        <v>土地使用年限（年）</v>
      </c>
      <c r="AA10" s="713">
        <f t="shared" si="3"/>
        <v>1</v>
      </c>
      <c r="AB10" s="713">
        <f t="shared" si="4"/>
        <v>1</v>
      </c>
      <c r="AC10" s="2095">
        <f t="shared" si="5"/>
        <v>1</v>
      </c>
    </row>
    <row r="11" spans="1:29" ht="15">
      <c r="A11" s="387"/>
      <c r="B11" s="381" t="s">
        <v>2133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509"/>
      <c r="Q11" s="1478" t="str">
        <f t="shared" si="6"/>
        <v>容积率</v>
      </c>
      <c r="R11" s="710" t="s">
        <v>17</v>
      </c>
      <c r="S11" s="711" t="e">
        <f t="shared" si="0"/>
        <v>#N/A</v>
      </c>
      <c r="T11" s="710" t="s">
        <v>17</v>
      </c>
      <c r="U11" s="711" t="e">
        <f t="shared" si="1"/>
        <v>#N/A</v>
      </c>
      <c r="V11" s="710" t="s">
        <v>17</v>
      </c>
      <c r="W11" s="711" t="e">
        <f t="shared" si="2"/>
        <v>#N/A</v>
      </c>
      <c r="X11" s="712"/>
      <c r="Y11" s="3439"/>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509"/>
      <c r="Q12" s="1478">
        <f t="shared" si="6"/>
        <v>111</v>
      </c>
      <c r="R12" s="710" t="s">
        <v>17</v>
      </c>
      <c r="S12" s="711">
        <f t="shared" si="0"/>
        <v>100</v>
      </c>
      <c r="T12" s="710" t="s">
        <v>17</v>
      </c>
      <c r="U12" s="711">
        <f t="shared" si="1"/>
        <v>100</v>
      </c>
      <c r="V12" s="710" t="s">
        <v>17</v>
      </c>
      <c r="W12" s="711">
        <f t="shared" si="2"/>
        <v>100</v>
      </c>
      <c r="X12" s="712"/>
      <c r="Y12" s="3439"/>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509"/>
      <c r="Q13" s="1478">
        <f t="shared" si="6"/>
        <v>111</v>
      </c>
      <c r="R13" s="710" t="s">
        <v>17</v>
      </c>
      <c r="S13" s="711">
        <f t="shared" si="0"/>
        <v>100</v>
      </c>
      <c r="T13" s="710" t="s">
        <v>17</v>
      </c>
      <c r="U13" s="711">
        <f t="shared" si="1"/>
        <v>100</v>
      </c>
      <c r="V13" s="710" t="s">
        <v>17</v>
      </c>
      <c r="W13" s="711">
        <f t="shared" si="2"/>
        <v>100</v>
      </c>
      <c r="X13" s="712"/>
      <c r="Y13" s="3439"/>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509"/>
      <c r="Q14" s="1478">
        <f t="shared" si="6"/>
        <v>111</v>
      </c>
      <c r="R14" s="710" t="s">
        <v>17</v>
      </c>
      <c r="S14" s="711">
        <f t="shared" si="0"/>
        <v>100</v>
      </c>
      <c r="T14" s="710" t="s">
        <v>17</v>
      </c>
      <c r="U14" s="711">
        <f t="shared" si="1"/>
        <v>100</v>
      </c>
      <c r="V14" s="710" t="s">
        <v>17</v>
      </c>
      <c r="W14" s="711">
        <f t="shared" si="2"/>
        <v>100</v>
      </c>
      <c r="X14" s="712"/>
      <c r="Y14" s="3439"/>
      <c r="Z14" s="55">
        <f t="shared" si="7"/>
        <v>111</v>
      </c>
      <c r="AA14" s="713">
        <f t="shared" si="3"/>
        <v>1</v>
      </c>
      <c r="AB14" s="713">
        <f t="shared" si="4"/>
        <v>1</v>
      </c>
      <c r="AC14" s="2095">
        <f t="shared" si="5"/>
        <v>1</v>
      </c>
    </row>
    <row r="15" spans="1:29" ht="15">
      <c r="A15" s="399" t="s">
        <v>2134</v>
      </c>
      <c r="B15" s="585" t="s">
        <v>2262</v>
      </c>
      <c r="C15" s="2097"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36" t="s">
        <v>2135</v>
      </c>
      <c r="Q15" s="1487" t="str">
        <f t="shared" si="6"/>
        <v>办公集聚程度</v>
      </c>
      <c r="R15" s="714" t="s">
        <v>17</v>
      </c>
      <c r="S15" s="715">
        <f t="shared" si="0"/>
        <v>100</v>
      </c>
      <c r="T15" s="714" t="s">
        <v>17</v>
      </c>
      <c r="U15" s="715">
        <f t="shared" si="1"/>
        <v>100</v>
      </c>
      <c r="V15" s="714" t="s">
        <v>17</v>
      </c>
      <c r="W15" s="715">
        <f t="shared" si="2"/>
        <v>100</v>
      </c>
      <c r="X15" s="1490"/>
      <c r="Y15" s="3529" t="s">
        <v>2135</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8"/>
      <c r="M16" s="2892"/>
      <c r="N16" s="2892"/>
      <c r="O16" s="2892"/>
      <c r="P16" s="3537"/>
      <c r="Q16" s="1487"/>
      <c r="R16" s="714"/>
      <c r="S16" s="715"/>
      <c r="T16" s="714"/>
      <c r="U16" s="715"/>
      <c r="V16" s="714"/>
      <c r="W16" s="715"/>
      <c r="X16" s="1490"/>
      <c r="Y16" s="3530"/>
      <c r="Z16" s="1491"/>
      <c r="AA16" s="1488">
        <v>1</v>
      </c>
      <c r="AB16" s="1488">
        <v>1</v>
      </c>
      <c r="AC16" s="2098">
        <v>1</v>
      </c>
    </row>
    <row r="17" spans="1:29" ht="15">
      <c r="A17" s="387"/>
      <c r="B17" s="587" t="s">
        <v>1700</v>
      </c>
      <c r="C17" s="2099"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37"/>
      <c r="Q17" s="1487" t="str">
        <f>B17</f>
        <v>交通便捷度</v>
      </c>
      <c r="R17" s="714" t="s">
        <v>17</v>
      </c>
      <c r="S17" s="715">
        <f>F17</f>
        <v>100</v>
      </c>
      <c r="T17" s="714" t="s">
        <v>17</v>
      </c>
      <c r="U17" s="715">
        <f>H17</f>
        <v>100</v>
      </c>
      <c r="V17" s="714" t="s">
        <v>17</v>
      </c>
      <c r="W17" s="715">
        <f>J17</f>
        <v>100</v>
      </c>
      <c r="X17" s="1490"/>
      <c r="Y17" s="3530"/>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8"/>
      <c r="M18" s="2892"/>
      <c r="N18" s="2892"/>
      <c r="O18" s="2892"/>
      <c r="P18" s="3537"/>
      <c r="Q18" s="1487"/>
      <c r="R18" s="714"/>
      <c r="S18" s="715"/>
      <c r="T18" s="714"/>
      <c r="U18" s="715"/>
      <c r="V18" s="714"/>
      <c r="W18" s="715"/>
      <c r="X18" s="1490"/>
      <c r="Y18" s="3530"/>
      <c r="Z18" s="1491"/>
      <c r="AA18" s="1488">
        <v>1</v>
      </c>
      <c r="AB18" s="1488">
        <v>1</v>
      </c>
      <c r="AC18" s="2098">
        <v>1</v>
      </c>
    </row>
    <row r="19" spans="1:29" ht="15">
      <c r="A19" s="387"/>
      <c r="B19" s="587" t="s">
        <v>2263</v>
      </c>
      <c r="C19" s="2099"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37"/>
      <c r="Q19" s="1487" t="str">
        <f>B19</f>
        <v>公共配套设施</v>
      </c>
      <c r="R19" s="714" t="s">
        <v>17</v>
      </c>
      <c r="S19" s="715">
        <f>F19</f>
        <v>100</v>
      </c>
      <c r="T19" s="714" t="s">
        <v>17</v>
      </c>
      <c r="U19" s="715">
        <f>H19</f>
        <v>100</v>
      </c>
      <c r="V19" s="714" t="s">
        <v>17</v>
      </c>
      <c r="W19" s="715">
        <f>J19</f>
        <v>100</v>
      </c>
      <c r="X19" s="1490"/>
      <c r="Y19" s="3530"/>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8"/>
      <c r="M20" s="2892"/>
      <c r="N20" s="2892"/>
      <c r="O20" s="2892"/>
      <c r="P20" s="3537"/>
      <c r="Q20" s="1487"/>
      <c r="R20" s="714"/>
      <c r="S20" s="715"/>
      <c r="T20" s="714"/>
      <c r="U20" s="715"/>
      <c r="V20" s="714"/>
      <c r="W20" s="715"/>
      <c r="X20" s="1490"/>
      <c r="Y20" s="3530"/>
      <c r="Z20" s="1491"/>
      <c r="AA20" s="1488">
        <v>1</v>
      </c>
      <c r="AB20" s="1488">
        <v>1</v>
      </c>
      <c r="AC20" s="2098">
        <v>1</v>
      </c>
    </row>
    <row r="21" spans="1:29" ht="15">
      <c r="A21" s="387"/>
      <c r="B21" s="589" t="s">
        <v>2264</v>
      </c>
      <c r="C21" s="2099"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37"/>
      <c r="Q21" s="1487" t="str">
        <f>B21</f>
        <v>基础设施水平</v>
      </c>
      <c r="R21" s="714" t="s">
        <v>17</v>
      </c>
      <c r="S21" s="715">
        <f>F21</f>
        <v>100</v>
      </c>
      <c r="T21" s="714" t="s">
        <v>17</v>
      </c>
      <c r="U21" s="715">
        <f>H21</f>
        <v>100</v>
      </c>
      <c r="V21" s="714" t="s">
        <v>17</v>
      </c>
      <c r="W21" s="715">
        <f>J21</f>
        <v>100</v>
      </c>
      <c r="X21" s="1490"/>
      <c r="Y21" s="3530"/>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8"/>
      <c r="M22" s="2892"/>
      <c r="N22" s="2892"/>
      <c r="O22" s="2892"/>
      <c r="P22" s="3537"/>
      <c r="Q22" s="1487"/>
      <c r="R22" s="714"/>
      <c r="S22" s="715"/>
      <c r="T22" s="714"/>
      <c r="U22" s="715"/>
      <c r="V22" s="714"/>
      <c r="W22" s="715"/>
      <c r="X22" s="1490"/>
      <c r="Y22" s="3530"/>
      <c r="Z22" s="1491"/>
      <c r="AA22" s="1488">
        <v>1</v>
      </c>
      <c r="AB22" s="1488">
        <v>1</v>
      </c>
      <c r="AC22" s="2098">
        <v>1</v>
      </c>
    </row>
    <row r="23" spans="1:29" ht="15">
      <c r="A23" s="387"/>
      <c r="B23" s="587" t="s">
        <v>2265</v>
      </c>
      <c r="C23" s="2099"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37"/>
      <c r="Q23" s="1487" t="str">
        <f>B23</f>
        <v>环境质量</v>
      </c>
      <c r="R23" s="714" t="s">
        <v>17</v>
      </c>
      <c r="S23" s="715">
        <f>F23</f>
        <v>100</v>
      </c>
      <c r="T23" s="714" t="s">
        <v>17</v>
      </c>
      <c r="U23" s="715">
        <f>H23</f>
        <v>100</v>
      </c>
      <c r="V23" s="714" t="s">
        <v>17</v>
      </c>
      <c r="W23" s="715">
        <f>J23</f>
        <v>100</v>
      </c>
      <c r="X23" s="1490"/>
      <c r="Y23" s="3530"/>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8"/>
      <c r="M24" s="2892"/>
      <c r="N24" s="2892"/>
      <c r="O24" s="2892"/>
      <c r="P24" s="3537"/>
      <c r="Q24" s="1487"/>
      <c r="R24" s="714"/>
      <c r="S24" s="715"/>
      <c r="T24" s="714"/>
      <c r="U24" s="715"/>
      <c r="V24" s="714"/>
      <c r="W24" s="715"/>
      <c r="X24" s="1490"/>
      <c r="Y24" s="3530"/>
      <c r="Z24" s="1491"/>
      <c r="AA24" s="1488">
        <v>1</v>
      </c>
      <c r="AB24" s="1488">
        <v>1</v>
      </c>
      <c r="AC24" s="2098">
        <v>1</v>
      </c>
    </row>
    <row r="25" spans="1:29" ht="27">
      <c r="A25" s="364"/>
      <c r="B25" s="587" t="s">
        <v>2266</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537"/>
      <c r="Q25" s="1487" t="str">
        <f>B25</f>
        <v>毗邻道路的类型与等级</v>
      </c>
      <c r="R25" s="714" t="s">
        <v>17</v>
      </c>
      <c r="S25" s="715">
        <f>F25</f>
        <v>100</v>
      </c>
      <c r="T25" s="714" t="s">
        <v>17</v>
      </c>
      <c r="U25" s="715">
        <f>H25</f>
        <v>100</v>
      </c>
      <c r="V25" s="714" t="s">
        <v>17</v>
      </c>
      <c r="W25" s="715">
        <f>J25</f>
        <v>100</v>
      </c>
      <c r="X25" s="1490"/>
      <c r="Y25" s="3530"/>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8"/>
      <c r="M26" s="2892"/>
      <c r="N26" s="2892"/>
      <c r="O26" s="2892"/>
      <c r="P26" s="3537"/>
      <c r="Q26" s="1487"/>
      <c r="R26" s="714"/>
      <c r="S26" s="715"/>
      <c r="T26" s="714"/>
      <c r="U26" s="715"/>
      <c r="V26" s="714"/>
      <c r="W26" s="715"/>
      <c r="X26" s="1490"/>
      <c r="Y26" s="3530"/>
      <c r="Z26" s="1491"/>
      <c r="AA26" s="1488">
        <v>1</v>
      </c>
      <c r="AB26" s="1488">
        <v>1</v>
      </c>
      <c r="AC26" s="2098">
        <v>1</v>
      </c>
    </row>
    <row r="27" spans="1:29" ht="15">
      <c r="A27" s="387"/>
      <c r="B27" s="588" t="s">
        <v>2234</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37"/>
      <c r="Q27" s="1487" t="str">
        <f t="shared" ref="Q27:Q47" si="11">B27</f>
        <v>楼层</v>
      </c>
      <c r="R27" s="714" t="s">
        <v>17</v>
      </c>
      <c r="S27" s="715">
        <f>F27</f>
        <v>100</v>
      </c>
      <c r="T27" s="714" t="s">
        <v>17</v>
      </c>
      <c r="U27" s="715">
        <f>H27</f>
        <v>100</v>
      </c>
      <c r="V27" s="714" t="s">
        <v>17</v>
      </c>
      <c r="W27" s="715">
        <f>J27</f>
        <v>100</v>
      </c>
      <c r="X27" s="1490"/>
      <c r="Y27" s="3530"/>
      <c r="Z27" s="1491" t="str">
        <f>Q27</f>
        <v>楼层</v>
      </c>
      <c r="AA27" s="1488">
        <f t="shared" si="3"/>
        <v>1</v>
      </c>
      <c r="AB27" s="1488">
        <f t="shared" si="4"/>
        <v>1</v>
      </c>
      <c r="AC27" s="2098">
        <f t="shared" si="5"/>
        <v>1</v>
      </c>
    </row>
    <row r="28" spans="1:29" s="113" customFormat="1" ht="15">
      <c r="A28" s="390"/>
      <c r="B28" s="587" t="s">
        <v>2267</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537"/>
      <c r="Q28" s="1478" t="str">
        <f t="shared" si="11"/>
        <v>朝向</v>
      </c>
      <c r="R28" s="710" t="s">
        <v>17</v>
      </c>
      <c r="S28" s="711">
        <f>F28</f>
        <v>100</v>
      </c>
      <c r="T28" s="710" t="s">
        <v>17</v>
      </c>
      <c r="U28" s="711">
        <f>H28</f>
        <v>100</v>
      </c>
      <c r="V28" s="710" t="s">
        <v>17</v>
      </c>
      <c r="W28" s="711">
        <f>J28</f>
        <v>100</v>
      </c>
      <c r="X28" s="712"/>
      <c r="Y28" s="3530"/>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537"/>
      <c r="Q29" s="1487">
        <f t="shared" si="11"/>
        <v>111</v>
      </c>
      <c r="R29" s="714" t="s">
        <v>17</v>
      </c>
      <c r="S29" s="715">
        <f t="shared" ref="S29:S47" si="12">F29</f>
        <v>100</v>
      </c>
      <c r="T29" s="714" t="s">
        <v>17</v>
      </c>
      <c r="U29" s="715">
        <f t="shared" ref="U29:U47" si="13">H29</f>
        <v>100</v>
      </c>
      <c r="V29" s="714" t="s">
        <v>17</v>
      </c>
      <c r="W29" s="715">
        <f t="shared" ref="W29:W47" si="14">J29</f>
        <v>100</v>
      </c>
      <c r="X29" s="1490"/>
      <c r="Y29" s="3530"/>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537"/>
      <c r="Q30" s="1487">
        <f t="shared" si="11"/>
        <v>111</v>
      </c>
      <c r="R30" s="714" t="s">
        <v>17</v>
      </c>
      <c r="S30" s="715">
        <f t="shared" si="12"/>
        <v>100</v>
      </c>
      <c r="T30" s="714" t="s">
        <v>17</v>
      </c>
      <c r="U30" s="715">
        <f t="shared" si="13"/>
        <v>100</v>
      </c>
      <c r="V30" s="714" t="s">
        <v>17</v>
      </c>
      <c r="W30" s="715">
        <f t="shared" si="14"/>
        <v>100</v>
      </c>
      <c r="X30" s="1490"/>
      <c r="Y30" s="3530"/>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537"/>
      <c r="Q31" s="1487">
        <f t="shared" si="11"/>
        <v>111</v>
      </c>
      <c r="R31" s="714" t="s">
        <v>17</v>
      </c>
      <c r="S31" s="715">
        <f t="shared" si="12"/>
        <v>100</v>
      </c>
      <c r="T31" s="714" t="s">
        <v>17</v>
      </c>
      <c r="U31" s="715">
        <f t="shared" si="13"/>
        <v>100</v>
      </c>
      <c r="V31" s="714" t="s">
        <v>17</v>
      </c>
      <c r="W31" s="715">
        <f t="shared" si="14"/>
        <v>100</v>
      </c>
      <c r="X31" s="1490"/>
      <c r="Y31" s="3530"/>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537"/>
      <c r="Q32" s="1487">
        <f t="shared" si="11"/>
        <v>111</v>
      </c>
      <c r="R32" s="714" t="s">
        <v>17</v>
      </c>
      <c r="S32" s="715">
        <f t="shared" si="12"/>
        <v>100</v>
      </c>
      <c r="T32" s="714" t="s">
        <v>17</v>
      </c>
      <c r="U32" s="715">
        <f t="shared" si="13"/>
        <v>100</v>
      </c>
      <c r="V32" s="714" t="s">
        <v>17</v>
      </c>
      <c r="W32" s="715">
        <f t="shared" si="14"/>
        <v>100</v>
      </c>
      <c r="X32" s="1490"/>
      <c r="Y32" s="3530"/>
      <c r="Z32" s="1491">
        <f t="shared" si="15"/>
        <v>111</v>
      </c>
      <c r="AA32" s="1488">
        <f t="shared" si="3"/>
        <v>1</v>
      </c>
      <c r="AB32" s="1488">
        <f t="shared" si="4"/>
        <v>1</v>
      </c>
      <c r="AC32" s="2098">
        <f t="shared" si="5"/>
        <v>1</v>
      </c>
    </row>
    <row r="33" spans="1:29" ht="15">
      <c r="A33" s="399" t="s">
        <v>2138</v>
      </c>
      <c r="B33" s="67" t="s">
        <v>2268</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531" t="s">
        <v>2140</v>
      </c>
      <c r="Q33" s="1487" t="str">
        <f t="shared" si="11"/>
        <v>建筑类型</v>
      </c>
      <c r="R33" s="714" t="s">
        <v>17</v>
      </c>
      <c r="S33" s="715">
        <f t="shared" si="12"/>
        <v>100</v>
      </c>
      <c r="T33" s="714" t="s">
        <v>17</v>
      </c>
      <c r="U33" s="715">
        <f t="shared" si="13"/>
        <v>100</v>
      </c>
      <c r="V33" s="714" t="s">
        <v>17</v>
      </c>
      <c r="W33" s="715">
        <f t="shared" si="14"/>
        <v>100</v>
      </c>
      <c r="X33" s="1490"/>
      <c r="Y33" s="3534" t="s">
        <v>2140</v>
      </c>
      <c r="Z33" s="1491" t="str">
        <f t="shared" si="15"/>
        <v>建筑类型</v>
      </c>
      <c r="AA33" s="1488">
        <f t="shared" si="3"/>
        <v>1</v>
      </c>
      <c r="AB33" s="1488">
        <f t="shared" si="4"/>
        <v>1</v>
      </c>
      <c r="AC33" s="2098">
        <f t="shared" si="5"/>
        <v>1</v>
      </c>
    </row>
    <row r="34" spans="1:29" s="430" customFormat="1" ht="15">
      <c r="A34" s="427"/>
      <c r="B34" s="381" t="s">
        <v>2141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532"/>
      <c r="Q34" s="716" t="str">
        <f t="shared" si="11"/>
        <v>项目建筑规模</v>
      </c>
      <c r="R34" s="717" t="s">
        <v>17</v>
      </c>
      <c r="S34" s="718" t="e">
        <f t="shared" si="12"/>
        <v>#N/A</v>
      </c>
      <c r="T34" s="717" t="s">
        <v>17</v>
      </c>
      <c r="U34" s="718" t="e">
        <f t="shared" si="13"/>
        <v>#N/A</v>
      </c>
      <c r="V34" s="717" t="s">
        <v>17</v>
      </c>
      <c r="W34" s="718" t="e">
        <f t="shared" si="14"/>
        <v>#N/A</v>
      </c>
      <c r="X34" s="719"/>
      <c r="Y34" s="3534"/>
      <c r="Z34" s="720" t="str">
        <f t="shared" si="15"/>
        <v>项目建筑规模</v>
      </c>
      <c r="AA34" s="1488" t="e">
        <f t="shared" si="3"/>
        <v>#N/A</v>
      </c>
      <c r="AB34" s="1488" t="e">
        <f t="shared" si="4"/>
        <v>#N/A</v>
      </c>
      <c r="AC34" s="2098" t="e">
        <f t="shared" si="5"/>
        <v>#N/A</v>
      </c>
    </row>
    <row r="35" spans="1:29" ht="15">
      <c r="A35" s="431"/>
      <c r="B35" s="381" t="s">
        <v>2142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532"/>
      <c r="Q35" s="1487" t="str">
        <f t="shared" si="11"/>
        <v>建筑结构</v>
      </c>
      <c r="R35" s="714" t="s">
        <v>17</v>
      </c>
      <c r="S35" s="715">
        <f t="shared" si="12"/>
        <v>100</v>
      </c>
      <c r="T35" s="714" t="s">
        <v>17</v>
      </c>
      <c r="U35" s="715">
        <f t="shared" si="13"/>
        <v>100</v>
      </c>
      <c r="V35" s="714" t="s">
        <v>17</v>
      </c>
      <c r="W35" s="715">
        <f t="shared" si="14"/>
        <v>100</v>
      </c>
      <c r="X35" s="1490"/>
      <c r="Y35" s="3534"/>
      <c r="Z35" s="1491" t="str">
        <f t="shared" si="15"/>
        <v>建筑结构</v>
      </c>
      <c r="AA35" s="1488">
        <f t="shared" si="3"/>
        <v>1</v>
      </c>
      <c r="AB35" s="1488">
        <f t="shared" si="4"/>
        <v>1</v>
      </c>
      <c r="AC35" s="2098">
        <f t="shared" si="5"/>
        <v>1</v>
      </c>
    </row>
    <row r="36" spans="1:29" ht="15">
      <c r="A36" s="431"/>
      <c r="B36" s="381" t="s">
        <v>2236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532"/>
      <c r="Q36" s="1487" t="str">
        <f t="shared" si="11"/>
        <v>公共部分装修</v>
      </c>
      <c r="R36" s="714" t="s">
        <v>17</v>
      </c>
      <c r="S36" s="715">
        <f t="shared" si="12"/>
        <v>100</v>
      </c>
      <c r="T36" s="714" t="s">
        <v>17</v>
      </c>
      <c r="U36" s="715">
        <f t="shared" si="13"/>
        <v>100</v>
      </c>
      <c r="V36" s="714" t="s">
        <v>17</v>
      </c>
      <c r="W36" s="715">
        <f t="shared" si="14"/>
        <v>100</v>
      </c>
      <c r="X36" s="1490"/>
      <c r="Y36" s="3534"/>
      <c r="Z36" s="1491" t="str">
        <f t="shared" si="15"/>
        <v>公共部分装修</v>
      </c>
      <c r="AA36" s="1488">
        <f t="shared" si="3"/>
        <v>1</v>
      </c>
      <c r="AB36" s="1488">
        <f t="shared" si="4"/>
        <v>1</v>
      </c>
      <c r="AC36" s="2098">
        <f t="shared" si="5"/>
        <v>1</v>
      </c>
    </row>
    <row r="37" spans="1:29" ht="15">
      <c r="A37" s="431"/>
      <c r="B37" s="381" t="s">
        <v>2237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532"/>
      <c r="Q37" s="1487" t="str">
        <f t="shared" si="11"/>
        <v>成新度</v>
      </c>
      <c r="R37" s="714" t="s">
        <v>17</v>
      </c>
      <c r="S37" s="715" t="e">
        <f t="shared" si="12"/>
        <v>#N/A</v>
      </c>
      <c r="T37" s="714" t="s">
        <v>17</v>
      </c>
      <c r="U37" s="715" t="e">
        <f t="shared" si="13"/>
        <v>#N/A</v>
      </c>
      <c r="V37" s="714" t="s">
        <v>17</v>
      </c>
      <c r="W37" s="715" t="e">
        <f t="shared" si="14"/>
        <v>#N/A</v>
      </c>
      <c r="X37" s="1490"/>
      <c r="Y37" s="3534"/>
      <c r="Z37" s="1491" t="str">
        <f t="shared" si="15"/>
        <v>成新度</v>
      </c>
      <c r="AA37" s="1488" t="e">
        <f t="shared" si="3"/>
        <v>#N/A</v>
      </c>
      <c r="AB37" s="1488" t="e">
        <f t="shared" si="4"/>
        <v>#N/A</v>
      </c>
      <c r="AC37" s="2098" t="e">
        <f t="shared" si="5"/>
        <v>#N/A</v>
      </c>
    </row>
    <row r="38" spans="1:29" s="113" customFormat="1" ht="15">
      <c r="A38" s="432"/>
      <c r="B38" s="381" t="s">
        <v>2269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532"/>
      <c r="Q38" s="1478" t="str">
        <f t="shared" si="11"/>
        <v>写字楼等级</v>
      </c>
      <c r="R38" s="710" t="s">
        <v>17</v>
      </c>
      <c r="S38" s="711">
        <f t="shared" si="12"/>
        <v>100</v>
      </c>
      <c r="T38" s="710" t="s">
        <v>17</v>
      </c>
      <c r="U38" s="711">
        <f t="shared" si="13"/>
        <v>100</v>
      </c>
      <c r="V38" s="710" t="s">
        <v>17</v>
      </c>
      <c r="W38" s="711">
        <f t="shared" si="14"/>
        <v>100</v>
      </c>
      <c r="X38" s="712"/>
      <c r="Y38" s="3534"/>
      <c r="Z38" s="55" t="str">
        <f t="shared" si="15"/>
        <v>写字楼等级</v>
      </c>
      <c r="AA38" s="713">
        <f t="shared" si="3"/>
        <v>1</v>
      </c>
      <c r="AB38" s="713">
        <f t="shared" si="4"/>
        <v>1</v>
      </c>
      <c r="AC38" s="2095">
        <f t="shared" si="5"/>
        <v>1</v>
      </c>
    </row>
    <row r="39" spans="1:29" ht="15">
      <c r="A39" s="431"/>
      <c r="B39" s="381" t="s">
        <v>2270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532" t="s">
        <v>2140</v>
      </c>
      <c r="Q39" s="1487" t="str">
        <f t="shared" si="11"/>
        <v>物业管理</v>
      </c>
      <c r="R39" s="714" t="s">
        <v>17</v>
      </c>
      <c r="S39" s="715">
        <f t="shared" si="12"/>
        <v>100</v>
      </c>
      <c r="T39" s="714" t="s">
        <v>17</v>
      </c>
      <c r="U39" s="715">
        <f t="shared" si="13"/>
        <v>100</v>
      </c>
      <c r="V39" s="714" t="s">
        <v>17</v>
      </c>
      <c r="W39" s="715">
        <f t="shared" si="14"/>
        <v>100</v>
      </c>
      <c r="X39" s="1490"/>
      <c r="Y39" s="3534" t="s">
        <v>2140</v>
      </c>
      <c r="Z39" s="1491" t="str">
        <f t="shared" si="15"/>
        <v>物业管理</v>
      </c>
      <c r="AA39" s="1488">
        <f t="shared" si="3"/>
        <v>1</v>
      </c>
      <c r="AB39" s="1488">
        <f t="shared" si="4"/>
        <v>1</v>
      </c>
      <c r="AC39" s="2098">
        <f t="shared" si="5"/>
        <v>1</v>
      </c>
    </row>
    <row r="40" spans="1:29" ht="15">
      <c r="A40" s="431"/>
      <c r="B40" s="381" t="s">
        <v>2238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532"/>
      <c r="Q40" s="1487" t="str">
        <f t="shared" si="11"/>
        <v>市政基础设施</v>
      </c>
      <c r="R40" s="714" t="s">
        <v>17</v>
      </c>
      <c r="S40" s="715">
        <f t="shared" si="12"/>
        <v>100</v>
      </c>
      <c r="T40" s="714" t="s">
        <v>17</v>
      </c>
      <c r="U40" s="715">
        <f t="shared" si="13"/>
        <v>100</v>
      </c>
      <c r="V40" s="714" t="s">
        <v>17</v>
      </c>
      <c r="W40" s="715">
        <f t="shared" si="14"/>
        <v>100</v>
      </c>
      <c r="X40" s="1490"/>
      <c r="Y40" s="3534"/>
      <c r="Z40" s="1491" t="str">
        <f t="shared" si="15"/>
        <v>市政基础设施</v>
      </c>
      <c r="AA40" s="1488">
        <f t="shared" si="3"/>
        <v>1</v>
      </c>
      <c r="AB40" s="1488">
        <f t="shared" si="4"/>
        <v>1</v>
      </c>
      <c r="AC40" s="2098">
        <f t="shared" si="5"/>
        <v>1</v>
      </c>
    </row>
    <row r="41" spans="1:29" ht="15">
      <c r="A41" s="431"/>
      <c r="B41" s="381" t="s">
        <v>2240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532"/>
      <c r="Q41" s="1487" t="str">
        <f t="shared" si="11"/>
        <v>层高</v>
      </c>
      <c r="R41" s="714" t="s">
        <v>17</v>
      </c>
      <c r="S41" s="715">
        <f t="shared" si="12"/>
        <v>100</v>
      </c>
      <c r="T41" s="714" t="s">
        <v>17</v>
      </c>
      <c r="U41" s="715">
        <f t="shared" si="13"/>
        <v>100</v>
      </c>
      <c r="V41" s="714" t="s">
        <v>17</v>
      </c>
      <c r="W41" s="715">
        <f t="shared" si="14"/>
        <v>100</v>
      </c>
      <c r="X41" s="1490"/>
      <c r="Y41" s="3534"/>
      <c r="Z41" s="1491" t="str">
        <f t="shared" si="15"/>
        <v>层高</v>
      </c>
      <c r="AA41" s="1488">
        <f t="shared" si="3"/>
        <v>1</v>
      </c>
      <c r="AB41" s="1488">
        <f t="shared" si="4"/>
        <v>1</v>
      </c>
      <c r="AC41" s="2098">
        <f t="shared" si="5"/>
        <v>1</v>
      </c>
    </row>
    <row r="42" spans="1:29" s="430" customFormat="1" ht="15">
      <c r="A42" s="427"/>
      <c r="B42" s="1489" t="s">
        <v>2271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532"/>
      <c r="Q42" s="716" t="str">
        <f t="shared" si="11"/>
        <v>单套建筑面积</v>
      </c>
      <c r="R42" s="717" t="s">
        <v>17</v>
      </c>
      <c r="S42" s="718">
        <f t="shared" si="12"/>
        <v>100</v>
      </c>
      <c r="T42" s="717" t="s">
        <v>17</v>
      </c>
      <c r="U42" s="718">
        <f t="shared" si="13"/>
        <v>100</v>
      </c>
      <c r="V42" s="717" t="s">
        <v>17</v>
      </c>
      <c r="W42" s="718">
        <f t="shared" si="14"/>
        <v>100</v>
      </c>
      <c r="X42" s="719"/>
      <c r="Y42" s="3534"/>
      <c r="Z42" s="720" t="str">
        <f t="shared" si="15"/>
        <v>单套建筑面积</v>
      </c>
      <c r="AA42" s="1488">
        <f t="shared" si="3"/>
        <v>1</v>
      </c>
      <c r="AB42" s="1488">
        <f t="shared" si="4"/>
        <v>1</v>
      </c>
      <c r="AC42" s="2098">
        <f t="shared" si="5"/>
        <v>1</v>
      </c>
    </row>
    <row r="43" spans="1:29" ht="15">
      <c r="A43" s="431"/>
      <c r="B43" s="381" t="s">
        <v>2243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532"/>
      <c r="Q43" s="1487" t="str">
        <f t="shared" si="11"/>
        <v>内部装修</v>
      </c>
      <c r="R43" s="714" t="s">
        <v>17</v>
      </c>
      <c r="S43" s="715">
        <f t="shared" si="12"/>
        <v>100</v>
      </c>
      <c r="T43" s="714" t="s">
        <v>17</v>
      </c>
      <c r="U43" s="715">
        <f t="shared" si="13"/>
        <v>100</v>
      </c>
      <c r="V43" s="714" t="s">
        <v>17</v>
      </c>
      <c r="W43" s="715">
        <f t="shared" si="14"/>
        <v>100</v>
      </c>
      <c r="X43" s="1490"/>
      <c r="Y43" s="3534"/>
      <c r="Z43" s="1491" t="str">
        <f t="shared" si="15"/>
        <v>内部装修</v>
      </c>
      <c r="AA43" s="1488">
        <f t="shared" si="3"/>
        <v>1</v>
      </c>
      <c r="AB43" s="1488">
        <f t="shared" si="4"/>
        <v>1</v>
      </c>
      <c r="AC43" s="2098">
        <f t="shared" si="5"/>
        <v>1</v>
      </c>
    </row>
    <row r="44" spans="1:29" ht="15">
      <c r="A44" s="431"/>
      <c r="B44" s="381" t="s">
        <v>2151</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532"/>
      <c r="Q44" s="1487" t="str">
        <f t="shared" si="11"/>
        <v>内部装修维护情况</v>
      </c>
      <c r="R44" s="714" t="s">
        <v>17</v>
      </c>
      <c r="S44" s="715">
        <f t="shared" si="12"/>
        <v>100</v>
      </c>
      <c r="T44" s="714" t="s">
        <v>17</v>
      </c>
      <c r="U44" s="715">
        <f t="shared" si="13"/>
        <v>100</v>
      </c>
      <c r="V44" s="714" t="s">
        <v>17</v>
      </c>
      <c r="W44" s="715">
        <f t="shared" si="14"/>
        <v>100</v>
      </c>
      <c r="X44" s="1490"/>
      <c r="Y44" s="3534"/>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532"/>
      <c r="Q45" s="1478">
        <f t="shared" si="11"/>
        <v>111</v>
      </c>
      <c r="R45" s="710" t="s">
        <v>17</v>
      </c>
      <c r="S45" s="711">
        <f t="shared" si="12"/>
        <v>100</v>
      </c>
      <c r="T45" s="710" t="s">
        <v>17</v>
      </c>
      <c r="U45" s="711">
        <f t="shared" si="13"/>
        <v>100</v>
      </c>
      <c r="V45" s="710" t="s">
        <v>17</v>
      </c>
      <c r="W45" s="711">
        <f t="shared" si="14"/>
        <v>100</v>
      </c>
      <c r="X45" s="712"/>
      <c r="Y45" s="3534"/>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532"/>
      <c r="Q46" s="1487">
        <f t="shared" si="11"/>
        <v>111</v>
      </c>
      <c r="R46" s="714" t="s">
        <v>17</v>
      </c>
      <c r="S46" s="715">
        <f t="shared" si="12"/>
        <v>100</v>
      </c>
      <c r="T46" s="714" t="s">
        <v>17</v>
      </c>
      <c r="U46" s="715">
        <f t="shared" si="13"/>
        <v>100</v>
      </c>
      <c r="V46" s="714" t="s">
        <v>17</v>
      </c>
      <c r="W46" s="715">
        <f t="shared" si="14"/>
        <v>100</v>
      </c>
      <c r="X46" s="1490"/>
      <c r="Y46" s="3534"/>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533"/>
      <c r="Q47" s="1487">
        <f t="shared" si="11"/>
        <v>111</v>
      </c>
      <c r="R47" s="714" t="s">
        <v>17</v>
      </c>
      <c r="S47" s="715">
        <f t="shared" si="12"/>
        <v>100</v>
      </c>
      <c r="T47" s="714" t="s">
        <v>17</v>
      </c>
      <c r="U47" s="715">
        <f t="shared" si="13"/>
        <v>100</v>
      </c>
      <c r="V47" s="714" t="s">
        <v>17</v>
      </c>
      <c r="W47" s="715">
        <f t="shared" si="14"/>
        <v>100</v>
      </c>
      <c r="X47" s="1490"/>
      <c r="Y47" s="3535"/>
      <c r="Z47" s="1491">
        <f t="shared" si="15"/>
        <v>111</v>
      </c>
      <c r="AA47" s="1488">
        <f t="shared" si="3"/>
        <v>1</v>
      </c>
      <c r="AB47" s="1488">
        <f t="shared" si="4"/>
        <v>1</v>
      </c>
      <c r="AC47" s="2098">
        <f t="shared" si="5"/>
        <v>1</v>
      </c>
    </row>
    <row r="48" spans="1:29" ht="15">
      <c r="A48" s="438" t="s">
        <v>2152</v>
      </c>
      <c r="B48" s="439"/>
      <c r="C48" s="1269" t="s">
        <v>1</v>
      </c>
      <c r="D48" s="1270"/>
      <c r="E48" s="1271"/>
      <c r="F48" s="1272"/>
      <c r="G48" s="1273"/>
      <c r="H48" s="1274"/>
      <c r="I48" s="1271"/>
      <c r="J48" s="444"/>
      <c r="K48" s="723"/>
      <c r="L48" s="2900"/>
      <c r="M48" s="2892"/>
      <c r="N48" s="2892"/>
      <c r="O48" s="2892"/>
      <c r="P48" s="3509" t="str">
        <f>A48</f>
        <v>成交单价（元/平方米）</v>
      </c>
      <c r="Q48" s="3527"/>
      <c r="R48" s="3528">
        <f>E48</f>
        <v>0</v>
      </c>
      <c r="S48" s="3528"/>
      <c r="T48" s="3528">
        <f>G48</f>
        <v>0</v>
      </c>
      <c r="U48" s="3528"/>
      <c r="V48" s="3528">
        <f>I48</f>
        <v>0</v>
      </c>
      <c r="W48" s="3528"/>
      <c r="X48" s="405"/>
      <c r="Y48" s="721"/>
      <c r="Z48" s="405"/>
      <c r="AA48" s="405"/>
      <c r="AB48" s="405"/>
      <c r="AC48" s="586"/>
    </row>
    <row r="49" spans="1:29" ht="15.75" thickBot="1">
      <c r="A49" s="445" t="s">
        <v>2244</v>
      </c>
      <c r="B49" s="446"/>
      <c r="C49" s="1275" t="e">
        <f>R50</f>
        <v>#DIV/0!</v>
      </c>
      <c r="D49" s="2488" t="s">
        <v>2634</v>
      </c>
      <c r="E49" s="1276" t="e">
        <f>R49</f>
        <v>#DIV/0!</v>
      </c>
      <c r="F49" s="2489"/>
      <c r="G49" s="1275" t="e">
        <f>T49</f>
        <v>#DIV/0!</v>
      </c>
      <c r="H49" s="2489"/>
      <c r="I49" s="1276" t="e">
        <f>V49</f>
        <v>#DIV/0!</v>
      </c>
      <c r="J49" s="2489"/>
      <c r="K49" s="2491">
        <f>F49+H49+J49</f>
        <v>0</v>
      </c>
      <c r="L49" s="2900"/>
      <c r="M49" s="2892"/>
      <c r="N49" s="2892"/>
      <c r="O49" s="2892"/>
      <c r="P49" s="3509" t="str">
        <f>A49</f>
        <v>比较价值（元/平方米）</v>
      </c>
      <c r="Q49" s="3527"/>
      <c r="R49" s="3528" t="e">
        <f>IF(F1="售价",ROUND(PRODUCT(R48,AA7:AA47),0),ROUND(PRODUCT(R48,AA7:AA47),1))</f>
        <v>#DIV/0!</v>
      </c>
      <c r="S49" s="3528"/>
      <c r="T49" s="3528" t="e">
        <f>IF(F1="售价",ROUND(PRODUCT(T48,AB7:AB47),0),ROUND(PRODUCT(T48,AB7:AB47),1))</f>
        <v>#DIV/0!</v>
      </c>
      <c r="U49" s="3528"/>
      <c r="V49" s="3528" t="e">
        <f>IF(F1="售价",ROUND(PRODUCT(V48,AC7:AC47),0),ROUND(PRODUCT(V48,AC7:AC47),1))</f>
        <v>#DIV/0!</v>
      </c>
      <c r="W49" s="3528"/>
      <c r="X49" s="405"/>
      <c r="Y49" s="405"/>
      <c r="Z49" s="405"/>
      <c r="AA49" s="405"/>
      <c r="AB49" s="405"/>
      <c r="AC49" s="586"/>
    </row>
    <row r="50" spans="1:29" ht="15.75" thickBot="1">
      <c r="A50" s="449" t="s">
        <v>2245</v>
      </c>
      <c r="B50" s="450"/>
      <c r="C50" s="1278" t="e">
        <f>R50</f>
        <v>#DIV/0!</v>
      </c>
      <c r="D50" s="1278"/>
      <c r="E50" s="1278"/>
      <c r="F50" s="1278"/>
      <c r="G50" s="1278"/>
      <c r="H50" s="1278"/>
      <c r="I50" s="1278"/>
      <c r="J50" s="451"/>
      <c r="K50" s="724"/>
      <c r="L50" s="2900"/>
      <c r="M50" s="2892"/>
      <c r="N50" s="2892"/>
      <c r="O50" s="2892"/>
      <c r="P50" s="3550" t="str">
        <f>A50</f>
        <v>估价对象XX用房的比较价值（楼面单价，元/平方米）</v>
      </c>
      <c r="Q50" s="3551"/>
      <c r="R50" s="3552" t="e">
        <f>IF(F1="售价",ROUND(IF(D49="简单平均",AVERAGE(R49:V49),R49*F49+T49*H49+V49*J49),0),ROUND(IF(D49="简单平均",AVERAGE(R49:V49),R49*F49+T49*H49+V49*J49),1))</f>
        <v>#DIV/0!</v>
      </c>
      <c r="S50" s="3552"/>
      <c r="T50" s="3552"/>
      <c r="U50" s="3552"/>
      <c r="V50" s="3552"/>
      <c r="W50" s="3552"/>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2246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2247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2248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2249</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2123</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2160</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2125</v>
      </c>
      <c r="B62" s="467"/>
      <c r="C62" s="479" t="s">
        <v>2227</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2163</v>
      </c>
      <c r="B64" s="485" t="s">
        <v>2129</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2132</v>
      </c>
      <c r="C66" s="496" t="s">
        <v>2164</v>
      </c>
      <c r="D66" s="496" t="s">
        <v>2165</v>
      </c>
      <c r="E66" s="496" t="s">
        <v>2166</v>
      </c>
      <c r="F66" s="496" t="s">
        <v>2167</v>
      </c>
      <c r="G66" s="496" t="s">
        <v>2168</v>
      </c>
      <c r="H66" s="496" t="s">
        <v>2169</v>
      </c>
      <c r="I66" s="496" t="s">
        <v>2170</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2134</v>
      </c>
      <c r="B77" s="485" t="s">
        <v>2272</v>
      </c>
      <c r="C77" s="530" t="s">
        <v>2172</v>
      </c>
      <c r="D77" s="530" t="s">
        <v>2173</v>
      </c>
      <c r="E77" s="530" t="s">
        <v>2174</v>
      </c>
      <c r="F77" s="530" t="s">
        <v>2175</v>
      </c>
      <c r="G77" s="530" t="s">
        <v>2176</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2177</v>
      </c>
      <c r="C79" s="535" t="s">
        <v>2172</v>
      </c>
      <c r="D79" s="535" t="s">
        <v>2173</v>
      </c>
      <c r="E79" s="535" t="s">
        <v>2174</v>
      </c>
      <c r="F79" s="535" t="s">
        <v>2175</v>
      </c>
      <c r="G79" s="535" t="s">
        <v>2176</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2178</v>
      </c>
      <c r="C81" s="535" t="s">
        <v>2172</v>
      </c>
      <c r="D81" s="535" t="s">
        <v>2173</v>
      </c>
      <c r="E81" s="535" t="s">
        <v>2174</v>
      </c>
      <c r="F81" s="535" t="s">
        <v>2175</v>
      </c>
      <c r="G81" s="535" t="s">
        <v>2176</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2264</v>
      </c>
      <c r="C83" s="616" t="s">
        <v>2250</v>
      </c>
      <c r="D83" s="616" t="s">
        <v>2251</v>
      </c>
      <c r="E83" s="616" t="s">
        <v>2252</v>
      </c>
      <c r="F83" s="616" t="s">
        <v>2253</v>
      </c>
      <c r="G83" s="616" t="s">
        <v>2254</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2273</v>
      </c>
      <c r="C85" s="535" t="s">
        <v>2172</v>
      </c>
      <c r="D85" s="535" t="s">
        <v>2173</v>
      </c>
      <c r="E85" s="535" t="s">
        <v>2174</v>
      </c>
      <c r="F85" s="535" t="s">
        <v>2175</v>
      </c>
      <c r="G85" s="535" t="s">
        <v>2176</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2274</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2138</v>
      </c>
      <c r="B101" s="485" t="s">
        <v>2187</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2188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2189</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2191</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2275</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2192</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2193</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2276</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2259</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2195</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2196</v>
      </c>
      <c r="C125" s="535" t="s">
        <v>2172</v>
      </c>
      <c r="D125" s="535" t="s">
        <v>2173</v>
      </c>
      <c r="E125" s="535" t="s">
        <v>2174</v>
      </c>
      <c r="F125" s="535" t="s">
        <v>2175</v>
      </c>
      <c r="G125" s="535" t="s">
        <v>2176</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2103</v>
      </c>
      <c r="B1" s="2093" t="s">
        <v>2277</v>
      </c>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1903</v>
      </c>
      <c r="B2" s="1279" t="e">
        <f ca="1">IF(C2="——",ROUND(C43*D3/10000,0),ROUND(C43*D3/10000,0)-D2)</f>
        <v>#DIV/0!</v>
      </c>
      <c r="C2" s="2017"/>
      <c r="D2" s="1019" t="e">
        <f ca="1">SUMIF(INDIRECT("'"&amp;F2&amp;"'"&amp;"!A:A"),"承租人权益价值",INDIRECT("'"&amp;F2&amp;"'"&amp;"!c:c"))</f>
        <v>#REF!</v>
      </c>
      <c r="E2" s="2018" t="s">
        <v>1904</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1905</v>
      </c>
      <c r="B3" s="566" t="e">
        <f ca="1">IF(C2="——",C43,ROUND(B2*10000/D3,0))</f>
        <v>#DIV/0!</v>
      </c>
      <c r="C3" s="360" t="s">
        <v>2219</v>
      </c>
      <c r="D3" s="359">
        <f>IF(D1="",'数据-汇总表'!E3,SUMIF('数据-汇总表'!$C19:$C33,D1,'数据-汇总表'!$E19:$E33))</f>
        <v>58300.299999999996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2220</v>
      </c>
      <c r="B4" s="362"/>
      <c r="C4" s="3510" t="s">
        <v>2221</v>
      </c>
      <c r="D4" s="3511"/>
      <c r="E4" s="3512" t="s">
        <v>2222</v>
      </c>
      <c r="F4" s="3513"/>
      <c r="G4" s="3510" t="s">
        <v>2223</v>
      </c>
      <c r="H4" s="3511"/>
      <c r="I4" s="3510" t="s">
        <v>2224</v>
      </c>
      <c r="J4" s="3511"/>
      <c r="K4" s="567" t="s">
        <v>2225</v>
      </c>
      <c r="L4" s="1025"/>
      <c r="M4" s="1026"/>
      <c r="N4" s="1026"/>
      <c r="O4" s="1026"/>
      <c r="P4" s="3514" t="s">
        <v>2226</v>
      </c>
      <c r="Q4" s="3515"/>
      <c r="R4" s="3497" t="s">
        <v>2222</v>
      </c>
      <c r="S4" s="3498"/>
      <c r="T4" s="3497" t="s">
        <v>2223</v>
      </c>
      <c r="U4" s="3498"/>
      <c r="V4" s="3522" t="s">
        <v>2224</v>
      </c>
      <c r="W4" s="3522"/>
      <c r="X4" s="1490"/>
      <c r="Y4" s="3497" t="s">
        <v>2226</v>
      </c>
      <c r="Z4" s="3498"/>
      <c r="AA4" s="3492" t="s">
        <v>2222</v>
      </c>
      <c r="AB4" s="3493" t="s">
        <v>2223</v>
      </c>
      <c r="AC4" s="3492" t="s">
        <v>2224</v>
      </c>
    </row>
    <row r="5" spans="1:29" ht="15">
      <c r="A5" s="364"/>
      <c r="B5" s="365"/>
      <c r="C5" s="3503" t="s">
        <v>2117</v>
      </c>
      <c r="D5" s="3504"/>
      <c r="E5" s="3501" t="s">
        <v>2118</v>
      </c>
      <c r="F5" s="3502"/>
      <c r="G5" s="3503" t="s">
        <v>2119</v>
      </c>
      <c r="H5" s="3504"/>
      <c r="I5" s="3503" t="s">
        <v>2120</v>
      </c>
      <c r="J5" s="3504"/>
      <c r="K5" s="567"/>
      <c r="L5" s="1025"/>
      <c r="M5" s="1026"/>
      <c r="N5" s="1026"/>
      <c r="O5" s="1026"/>
      <c r="P5" s="3516"/>
      <c r="Q5" s="3517"/>
      <c r="R5" s="3499"/>
      <c r="S5" s="3500"/>
      <c r="T5" s="3499"/>
      <c r="U5" s="3500"/>
      <c r="V5" s="3522"/>
      <c r="W5" s="3522"/>
      <c r="X5" s="1490"/>
      <c r="Y5" s="3499"/>
      <c r="Z5" s="3500"/>
      <c r="AA5" s="3493"/>
      <c r="AB5" s="3493"/>
      <c r="AC5" s="3493"/>
    </row>
    <row r="6" spans="1:29" ht="15.75" thickBot="1">
      <c r="A6" s="366"/>
      <c r="B6" s="367"/>
      <c r="C6" s="3505" t="s">
        <v>2121</v>
      </c>
      <c r="D6" s="3506"/>
      <c r="E6" s="3507" t="s">
        <v>2121</v>
      </c>
      <c r="F6" s="3508"/>
      <c r="G6" s="3505" t="s">
        <v>2121</v>
      </c>
      <c r="H6" s="3506"/>
      <c r="I6" s="3505" t="s">
        <v>2121</v>
      </c>
      <c r="J6" s="3506"/>
      <c r="K6" s="567" t="s">
        <v>2122</v>
      </c>
      <c r="L6" s="1025"/>
      <c r="M6" s="1026"/>
      <c r="N6" s="1026"/>
      <c r="O6" s="1026"/>
      <c r="P6" s="3518"/>
      <c r="Q6" s="3519"/>
      <c r="R6" s="3499"/>
      <c r="S6" s="3500"/>
      <c r="T6" s="3520"/>
      <c r="U6" s="3521"/>
      <c r="V6" s="3522"/>
      <c r="W6" s="3522"/>
      <c r="X6" s="1490"/>
      <c r="Y6" s="3520"/>
      <c r="Z6" s="3521"/>
      <c r="AA6" s="3494"/>
      <c r="AB6" s="3494"/>
      <c r="AC6" s="3494"/>
    </row>
    <row r="7" spans="1:29" s="113" customFormat="1" ht="15.75" thickBot="1">
      <c r="A7" s="368" t="s">
        <v>2123</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5" t="s">
        <v>2124</v>
      </c>
      <c r="Q7" s="3523"/>
      <c r="R7" s="710" t="s">
        <v>17</v>
      </c>
      <c r="S7" s="711">
        <f t="shared" ref="S7:S15" si="0">F7</f>
        <v>0</v>
      </c>
      <c r="T7" s="710" t="s">
        <v>17</v>
      </c>
      <c r="U7" s="711">
        <f t="shared" ref="U7:U15" si="1">H7</f>
        <v>0</v>
      </c>
      <c r="V7" s="710" t="s">
        <v>17</v>
      </c>
      <c r="W7" s="711">
        <f t="shared" ref="W7:W15" si="2">J7</f>
        <v>0</v>
      </c>
      <c r="X7" s="712"/>
      <c r="Y7" s="3495" t="s">
        <v>2124</v>
      </c>
      <c r="Z7" s="3496"/>
      <c r="AA7" s="713" t="e">
        <f>D7/F7</f>
        <v>#DIV/0!</v>
      </c>
      <c r="AB7" s="713" t="e">
        <f>D7/H7</f>
        <v>#DIV/0!</v>
      </c>
      <c r="AC7" s="713" t="e">
        <f>D7/J7</f>
        <v>#DIV/0!</v>
      </c>
    </row>
    <row r="8" spans="1:29" s="113" customFormat="1" ht="15.75" thickBot="1">
      <c r="A8" s="368" t="s">
        <v>2125</v>
      </c>
      <c r="B8" s="369"/>
      <c r="C8" s="374" t="s">
        <v>2126</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5" t="s">
        <v>2127</v>
      </c>
      <c r="Q8" s="3496"/>
      <c r="R8" s="710" t="s">
        <v>17</v>
      </c>
      <c r="S8" s="711">
        <f t="shared" si="0"/>
        <v>0</v>
      </c>
      <c r="T8" s="710" t="s">
        <v>17</v>
      </c>
      <c r="U8" s="711">
        <f t="shared" si="1"/>
        <v>0</v>
      </c>
      <c r="V8" s="710" t="s">
        <v>17</v>
      </c>
      <c r="W8" s="711">
        <f t="shared" si="2"/>
        <v>0</v>
      </c>
      <c r="X8" s="712"/>
      <c r="Y8" s="3495" t="s">
        <v>2127</v>
      </c>
      <c r="Z8" s="3496"/>
      <c r="AA8" s="713" t="e">
        <f t="shared" ref="AA8:AA40" si="3">D8/F8</f>
        <v>#DIV/0!</v>
      </c>
      <c r="AB8" s="713" t="e">
        <f t="shared" ref="AB8:AB40" si="4">D8/H8</f>
        <v>#DIV/0!</v>
      </c>
      <c r="AC8" s="713" t="e">
        <f t="shared" ref="AC8:AC40" si="5">D8/J8</f>
        <v>#DIV/0!</v>
      </c>
    </row>
    <row r="9" spans="1:29" s="113" customFormat="1">
      <c r="A9" s="375" t="s">
        <v>2128</v>
      </c>
      <c r="B9" s="67" t="s">
        <v>2129</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7" t="s">
        <v>2130</v>
      </c>
      <c r="Q9" s="1478" t="str">
        <f t="shared" ref="Q9:Q15" si="6">B9</f>
        <v>用途</v>
      </c>
      <c r="R9" s="710" t="s">
        <v>17</v>
      </c>
      <c r="S9" s="711">
        <f t="shared" si="0"/>
        <v>100</v>
      </c>
      <c r="T9" s="710" t="s">
        <v>17</v>
      </c>
      <c r="U9" s="711">
        <f t="shared" si="1"/>
        <v>100</v>
      </c>
      <c r="V9" s="710" t="s">
        <v>17</v>
      </c>
      <c r="W9" s="711">
        <f t="shared" si="2"/>
        <v>100</v>
      </c>
      <c r="X9" s="712"/>
      <c r="Y9" s="3439" t="s">
        <v>2131</v>
      </c>
      <c r="Z9" s="55" t="str">
        <f t="shared" ref="Z9:Z15" si="7">Q9</f>
        <v>用途</v>
      </c>
      <c r="AA9" s="713">
        <f t="shared" si="3"/>
        <v>1</v>
      </c>
      <c r="AB9" s="713">
        <f t="shared" si="4"/>
        <v>1</v>
      </c>
      <c r="AC9" s="713">
        <f t="shared" si="5"/>
        <v>1</v>
      </c>
    </row>
    <row r="10" spans="1:29" s="386" customFormat="1" ht="27">
      <c r="A10" s="380"/>
      <c r="B10" s="381" t="s">
        <v>2132</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7"/>
      <c r="Q10" s="1478" t="str">
        <f t="shared" si="6"/>
        <v>土地使用年限（年）</v>
      </c>
      <c r="R10" s="710" t="s">
        <v>17</v>
      </c>
      <c r="S10" s="711">
        <f t="shared" si="0"/>
        <v>100</v>
      </c>
      <c r="T10" s="710" t="s">
        <v>17</v>
      </c>
      <c r="U10" s="711">
        <f t="shared" si="1"/>
        <v>100</v>
      </c>
      <c r="V10" s="710" t="s">
        <v>17</v>
      </c>
      <c r="W10" s="711">
        <f t="shared" si="2"/>
        <v>100</v>
      </c>
      <c r="X10" s="712"/>
      <c r="Y10" s="3439"/>
      <c r="Z10" s="55" t="str">
        <f t="shared" si="7"/>
        <v>土地使用年限（年）</v>
      </c>
      <c r="AA10" s="713">
        <f t="shared" si="3"/>
        <v>1</v>
      </c>
      <c r="AB10" s="713">
        <f t="shared" si="4"/>
        <v>1</v>
      </c>
      <c r="AC10" s="713">
        <f t="shared" si="5"/>
        <v>1</v>
      </c>
    </row>
    <row r="11" spans="1:29" ht="15">
      <c r="A11" s="387"/>
      <c r="B11" s="381" t="s">
        <v>2133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7"/>
      <c r="Q11" s="1478" t="str">
        <f t="shared" si="6"/>
        <v>容积率</v>
      </c>
      <c r="R11" s="710" t="s">
        <v>17</v>
      </c>
      <c r="S11" s="711" t="e">
        <f t="shared" si="0"/>
        <v>#N/A</v>
      </c>
      <c r="T11" s="710" t="s">
        <v>17</v>
      </c>
      <c r="U11" s="711" t="e">
        <f t="shared" si="1"/>
        <v>#N/A</v>
      </c>
      <c r="V11" s="710" t="s">
        <v>17</v>
      </c>
      <c r="W11" s="711" t="e">
        <f t="shared" si="2"/>
        <v>#N/A</v>
      </c>
      <c r="X11" s="712"/>
      <c r="Y11" s="3439"/>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27"/>
      <c r="Q12" s="1478">
        <f t="shared" si="6"/>
        <v>111</v>
      </c>
      <c r="R12" s="710" t="s">
        <v>17</v>
      </c>
      <c r="S12" s="711">
        <f t="shared" si="0"/>
        <v>100</v>
      </c>
      <c r="T12" s="710" t="s">
        <v>17</v>
      </c>
      <c r="U12" s="711">
        <f t="shared" si="1"/>
        <v>100</v>
      </c>
      <c r="V12" s="710" t="s">
        <v>17</v>
      </c>
      <c r="W12" s="711">
        <f t="shared" si="2"/>
        <v>100</v>
      </c>
      <c r="X12" s="712"/>
      <c r="Y12" s="3439"/>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27"/>
      <c r="Q13" s="1478">
        <f t="shared" si="6"/>
        <v>111</v>
      </c>
      <c r="R13" s="710" t="s">
        <v>17</v>
      </c>
      <c r="S13" s="711">
        <f t="shared" si="0"/>
        <v>100</v>
      </c>
      <c r="T13" s="710" t="s">
        <v>17</v>
      </c>
      <c r="U13" s="711">
        <f t="shared" si="1"/>
        <v>100</v>
      </c>
      <c r="V13" s="710" t="s">
        <v>17</v>
      </c>
      <c r="W13" s="711">
        <f t="shared" si="2"/>
        <v>100</v>
      </c>
      <c r="X13" s="712"/>
      <c r="Y13" s="3439"/>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27"/>
      <c r="Q14" s="1478">
        <f t="shared" si="6"/>
        <v>111</v>
      </c>
      <c r="R14" s="710" t="s">
        <v>17</v>
      </c>
      <c r="S14" s="711">
        <f t="shared" si="0"/>
        <v>100</v>
      </c>
      <c r="T14" s="710" t="s">
        <v>17</v>
      </c>
      <c r="U14" s="711">
        <f t="shared" si="1"/>
        <v>100</v>
      </c>
      <c r="V14" s="710" t="s">
        <v>17</v>
      </c>
      <c r="W14" s="711">
        <f t="shared" si="2"/>
        <v>100</v>
      </c>
      <c r="X14" s="712"/>
      <c r="Y14" s="3439"/>
      <c r="Z14" s="55">
        <f t="shared" si="7"/>
        <v>111</v>
      </c>
      <c r="AA14" s="713">
        <f t="shared" si="3"/>
        <v>1</v>
      </c>
      <c r="AB14" s="713">
        <f t="shared" si="4"/>
        <v>1</v>
      </c>
      <c r="AC14" s="713">
        <f t="shared" si="5"/>
        <v>1</v>
      </c>
    </row>
    <row r="15" spans="1:29" ht="15">
      <c r="A15" s="399" t="s">
        <v>2134</v>
      </c>
      <c r="B15" s="65" t="s">
        <v>2278</v>
      </c>
      <c r="C15" s="2107">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29" t="s">
        <v>2135</v>
      </c>
      <c r="Q15" s="1487" t="str">
        <f t="shared" si="6"/>
        <v>产业集聚程度</v>
      </c>
      <c r="R15" s="714" t="s">
        <v>17</v>
      </c>
      <c r="S15" s="715">
        <f t="shared" si="0"/>
        <v>100</v>
      </c>
      <c r="T15" s="714" t="s">
        <v>17</v>
      </c>
      <c r="U15" s="715">
        <f t="shared" si="1"/>
        <v>100</v>
      </c>
      <c r="V15" s="714" t="s">
        <v>17</v>
      </c>
      <c r="W15" s="715">
        <f t="shared" si="2"/>
        <v>100</v>
      </c>
      <c r="X15" s="1490"/>
      <c r="Y15" s="3529" t="s">
        <v>2135</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30"/>
      <c r="Q16" s="1487"/>
      <c r="R16" s="714"/>
      <c r="S16" s="715"/>
      <c r="T16" s="714"/>
      <c r="U16" s="715"/>
      <c r="V16" s="714"/>
      <c r="W16" s="715"/>
      <c r="X16" s="1490"/>
      <c r="Y16" s="3530"/>
      <c r="Z16" s="1491"/>
      <c r="AA16" s="1488">
        <v>1</v>
      </c>
      <c r="AB16" s="1488">
        <v>1</v>
      </c>
      <c r="AC16" s="1488">
        <v>1</v>
      </c>
    </row>
    <row r="17" spans="1:29" ht="15">
      <c r="A17" s="387"/>
      <c r="B17" s="410" t="s">
        <v>1700</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30"/>
      <c r="Q17" s="1487" t="str">
        <f>B17</f>
        <v>交通便捷度</v>
      </c>
      <c r="R17" s="714" t="s">
        <v>17</v>
      </c>
      <c r="S17" s="715">
        <f>F17</f>
        <v>100</v>
      </c>
      <c r="T17" s="714" t="s">
        <v>17</v>
      </c>
      <c r="U17" s="715">
        <f>H17</f>
        <v>100</v>
      </c>
      <c r="V17" s="714" t="s">
        <v>17</v>
      </c>
      <c r="W17" s="715">
        <f>J17</f>
        <v>100</v>
      </c>
      <c r="X17" s="1490"/>
      <c r="Y17" s="3530"/>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30"/>
      <c r="Q18" s="1487"/>
      <c r="R18" s="714"/>
      <c r="S18" s="715"/>
      <c r="T18" s="714"/>
      <c r="U18" s="715"/>
      <c r="V18" s="714"/>
      <c r="W18" s="715"/>
      <c r="X18" s="1490"/>
      <c r="Y18" s="3530"/>
      <c r="Z18" s="1491"/>
      <c r="AA18" s="1488">
        <v>1</v>
      </c>
      <c r="AB18" s="1488">
        <v>1</v>
      </c>
      <c r="AC18" s="1488">
        <v>1</v>
      </c>
    </row>
    <row r="19" spans="1:29" ht="15">
      <c r="A19" s="387"/>
      <c r="B19" s="410" t="s">
        <v>2263</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30"/>
      <c r="Q19" s="1487" t="str">
        <f>B19</f>
        <v>公共配套设施</v>
      </c>
      <c r="R19" s="714" t="s">
        <v>17</v>
      </c>
      <c r="S19" s="715">
        <f>F19</f>
        <v>100</v>
      </c>
      <c r="T19" s="714" t="s">
        <v>17</v>
      </c>
      <c r="U19" s="715">
        <f>H19</f>
        <v>100</v>
      </c>
      <c r="V19" s="714" t="s">
        <v>17</v>
      </c>
      <c r="W19" s="715">
        <f>J19</f>
        <v>100</v>
      </c>
      <c r="X19" s="1490"/>
      <c r="Y19" s="3530"/>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30"/>
      <c r="Q20" s="1487"/>
      <c r="R20" s="714"/>
      <c r="S20" s="715"/>
      <c r="T20" s="714"/>
      <c r="U20" s="715"/>
      <c r="V20" s="714"/>
      <c r="W20" s="715"/>
      <c r="X20" s="1490"/>
      <c r="Y20" s="3530"/>
      <c r="Z20" s="1491"/>
      <c r="AA20" s="1488">
        <v>1</v>
      </c>
      <c r="AB20" s="1488">
        <v>1</v>
      </c>
      <c r="AC20" s="1488">
        <v>1</v>
      </c>
    </row>
    <row r="21" spans="1:29" ht="15">
      <c r="A21" s="387"/>
      <c r="B21" s="1246" t="s">
        <v>2264</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30"/>
      <c r="Q21" s="1487" t="str">
        <f>B21</f>
        <v>基础设施水平</v>
      </c>
      <c r="R21" s="714" t="s">
        <v>17</v>
      </c>
      <c r="S21" s="715">
        <f>F21</f>
        <v>100</v>
      </c>
      <c r="T21" s="714" t="s">
        <v>17</v>
      </c>
      <c r="U21" s="715">
        <f>H21</f>
        <v>100</v>
      </c>
      <c r="V21" s="714" t="s">
        <v>17</v>
      </c>
      <c r="W21" s="715">
        <f>J21</f>
        <v>100</v>
      </c>
      <c r="X21" s="1490"/>
      <c r="Y21" s="3530"/>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30"/>
      <c r="Q22" s="1487"/>
      <c r="R22" s="714"/>
      <c r="S22" s="715"/>
      <c r="T22" s="714"/>
      <c r="U22" s="715"/>
      <c r="V22" s="714"/>
      <c r="W22" s="715"/>
      <c r="X22" s="1490"/>
      <c r="Y22" s="3530"/>
      <c r="Z22" s="1491"/>
      <c r="AA22" s="1488">
        <v>1</v>
      </c>
      <c r="AB22" s="1488">
        <v>1</v>
      </c>
      <c r="AC22" s="1488">
        <v>1</v>
      </c>
    </row>
    <row r="23" spans="1:29" ht="15">
      <c r="A23" s="387"/>
      <c r="B23" s="410" t="s">
        <v>2265</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30"/>
      <c r="Q23" s="1487" t="str">
        <f>B23</f>
        <v>环境质量</v>
      </c>
      <c r="R23" s="714" t="s">
        <v>17</v>
      </c>
      <c r="S23" s="715">
        <f>F23</f>
        <v>100</v>
      </c>
      <c r="T23" s="714" t="s">
        <v>17</v>
      </c>
      <c r="U23" s="715">
        <f>H23</f>
        <v>100</v>
      </c>
      <c r="V23" s="714" t="s">
        <v>17</v>
      </c>
      <c r="W23" s="715">
        <f>J23</f>
        <v>100</v>
      </c>
      <c r="X23" s="1490"/>
      <c r="Y23" s="3530"/>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30"/>
      <c r="Q24" s="1487"/>
      <c r="R24" s="714"/>
      <c r="S24" s="715"/>
      <c r="T24" s="714"/>
      <c r="U24" s="715"/>
      <c r="V24" s="714"/>
      <c r="W24" s="715"/>
      <c r="X24" s="1490"/>
      <c r="Y24" s="353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30"/>
      <c r="Q25" s="1487">
        <f>B25</f>
        <v>111</v>
      </c>
      <c r="R25" s="714" t="s">
        <v>17</v>
      </c>
      <c r="S25" s="715">
        <f>F25</f>
        <v>100</v>
      </c>
      <c r="T25" s="714" t="s">
        <v>17</v>
      </c>
      <c r="U25" s="715">
        <f>H25</f>
        <v>100</v>
      </c>
      <c r="V25" s="714" t="s">
        <v>17</v>
      </c>
      <c r="W25" s="715">
        <f>J25</f>
        <v>100</v>
      </c>
      <c r="X25" s="1490"/>
      <c r="Y25" s="353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30"/>
      <c r="Q26" s="1487">
        <f t="shared" ref="Q26:Q40" si="11">B26</f>
        <v>111</v>
      </c>
      <c r="R26" s="714" t="s">
        <v>17</v>
      </c>
      <c r="S26" s="715">
        <f>F26</f>
        <v>100</v>
      </c>
      <c r="T26" s="714" t="s">
        <v>17</v>
      </c>
      <c r="U26" s="715">
        <f>H26</f>
        <v>100</v>
      </c>
      <c r="V26" s="714" t="s">
        <v>17</v>
      </c>
      <c r="W26" s="715">
        <f>J26</f>
        <v>100</v>
      </c>
      <c r="X26" s="1490"/>
      <c r="Y26" s="353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30"/>
      <c r="Q27" s="1478">
        <f t="shared" si="11"/>
        <v>111</v>
      </c>
      <c r="R27" s="710" t="s">
        <v>17</v>
      </c>
      <c r="S27" s="711">
        <f>F27</f>
        <v>100</v>
      </c>
      <c r="T27" s="710" t="s">
        <v>17</v>
      </c>
      <c r="U27" s="711">
        <f>H27</f>
        <v>100</v>
      </c>
      <c r="V27" s="710" t="s">
        <v>17</v>
      </c>
      <c r="W27" s="711">
        <f>J27</f>
        <v>100</v>
      </c>
      <c r="X27" s="712"/>
      <c r="Y27" s="353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30"/>
      <c r="Q28" s="1487">
        <f t="shared" si="11"/>
        <v>111</v>
      </c>
      <c r="R28" s="714" t="s">
        <v>17</v>
      </c>
      <c r="S28" s="715">
        <f t="shared" ref="S28:S40" si="12">F28</f>
        <v>100</v>
      </c>
      <c r="T28" s="714" t="s">
        <v>17</v>
      </c>
      <c r="U28" s="715">
        <f t="shared" ref="U28:U40" si="13">H28</f>
        <v>100</v>
      </c>
      <c r="V28" s="714" t="s">
        <v>17</v>
      </c>
      <c r="W28" s="715">
        <f t="shared" ref="W28:W40" si="14">J28</f>
        <v>100</v>
      </c>
      <c r="X28" s="1490"/>
      <c r="Y28" s="3530"/>
      <c r="Z28" s="1491">
        <f t="shared" ref="Z28:Z40" si="15">Q28</f>
        <v>111</v>
      </c>
      <c r="AA28" s="1488">
        <f t="shared" si="3"/>
        <v>1</v>
      </c>
      <c r="AB28" s="1488">
        <f t="shared" si="4"/>
        <v>1</v>
      </c>
      <c r="AC28" s="1488">
        <f t="shared" si="5"/>
        <v>1</v>
      </c>
    </row>
    <row r="29" spans="1:29" ht="28.5">
      <c r="A29" s="425" t="s">
        <v>2138</v>
      </c>
      <c r="B29" s="67" t="s">
        <v>2268</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53" t="s">
        <v>2140</v>
      </c>
      <c r="Q29" s="1487" t="str">
        <f t="shared" si="11"/>
        <v>建筑类型</v>
      </c>
      <c r="R29" s="714" t="s">
        <v>17</v>
      </c>
      <c r="S29" s="715">
        <f t="shared" si="12"/>
        <v>100</v>
      </c>
      <c r="T29" s="714" t="s">
        <v>17</v>
      </c>
      <c r="U29" s="715">
        <f t="shared" si="13"/>
        <v>100</v>
      </c>
      <c r="V29" s="714" t="s">
        <v>17</v>
      </c>
      <c r="W29" s="715">
        <f t="shared" si="14"/>
        <v>100</v>
      </c>
      <c r="X29" s="1490"/>
      <c r="Y29" s="3534" t="s">
        <v>2140</v>
      </c>
      <c r="Z29" s="1491" t="str">
        <f t="shared" si="15"/>
        <v>建筑类型</v>
      </c>
      <c r="AA29" s="1488">
        <f t="shared" si="3"/>
        <v>1</v>
      </c>
      <c r="AB29" s="1488">
        <f t="shared" si="4"/>
        <v>1</v>
      </c>
      <c r="AC29" s="1488">
        <f t="shared" si="5"/>
        <v>1</v>
      </c>
    </row>
    <row r="30" spans="1:29" s="430" customFormat="1" ht="15">
      <c r="A30" s="427"/>
      <c r="B30" s="381" t="s">
        <v>2141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34"/>
      <c r="Q30" s="716" t="str">
        <f t="shared" si="11"/>
        <v>项目建筑规模</v>
      </c>
      <c r="R30" s="717" t="s">
        <v>17</v>
      </c>
      <c r="S30" s="718" t="e">
        <f t="shared" si="12"/>
        <v>#N/A</v>
      </c>
      <c r="T30" s="717" t="s">
        <v>17</v>
      </c>
      <c r="U30" s="718" t="e">
        <f t="shared" si="13"/>
        <v>#N/A</v>
      </c>
      <c r="V30" s="717" t="s">
        <v>17</v>
      </c>
      <c r="W30" s="718" t="e">
        <f t="shared" si="14"/>
        <v>#N/A</v>
      </c>
      <c r="X30" s="719"/>
      <c r="Y30" s="3534"/>
      <c r="Z30" s="720" t="str">
        <f t="shared" si="15"/>
        <v>项目建筑规模</v>
      </c>
      <c r="AA30" s="1488" t="e">
        <f t="shared" si="3"/>
        <v>#N/A</v>
      </c>
      <c r="AB30" s="1488" t="e">
        <f t="shared" si="4"/>
        <v>#N/A</v>
      </c>
      <c r="AC30" s="1488" t="e">
        <f t="shared" si="5"/>
        <v>#N/A</v>
      </c>
    </row>
    <row r="31" spans="1:29" ht="15">
      <c r="A31" s="431"/>
      <c r="B31" s="381" t="s">
        <v>2142</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34"/>
      <c r="Q31" s="1487" t="str">
        <f t="shared" si="11"/>
        <v>建筑结构</v>
      </c>
      <c r="R31" s="714" t="s">
        <v>17</v>
      </c>
      <c r="S31" s="715">
        <f t="shared" si="12"/>
        <v>100</v>
      </c>
      <c r="T31" s="714" t="s">
        <v>17</v>
      </c>
      <c r="U31" s="715">
        <f t="shared" si="13"/>
        <v>100</v>
      </c>
      <c r="V31" s="714" t="s">
        <v>17</v>
      </c>
      <c r="W31" s="715">
        <f t="shared" si="14"/>
        <v>100</v>
      </c>
      <c r="X31" s="1490"/>
      <c r="Y31" s="3534"/>
      <c r="Z31" s="1491" t="str">
        <f t="shared" si="15"/>
        <v>建筑结构</v>
      </c>
      <c r="AA31" s="1488">
        <f t="shared" si="3"/>
        <v>1</v>
      </c>
      <c r="AB31" s="1488">
        <f t="shared" si="4"/>
        <v>1</v>
      </c>
      <c r="AC31" s="1488">
        <f t="shared" si="5"/>
        <v>1</v>
      </c>
    </row>
    <row r="32" spans="1:29" ht="15">
      <c r="A32" s="431"/>
      <c r="B32" s="381" t="s">
        <v>2236</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34"/>
      <c r="Q32" s="1487" t="str">
        <f t="shared" si="11"/>
        <v>公共部分装修</v>
      </c>
      <c r="R32" s="714" t="s">
        <v>17</v>
      </c>
      <c r="S32" s="715">
        <f t="shared" si="12"/>
        <v>100</v>
      </c>
      <c r="T32" s="714" t="s">
        <v>17</v>
      </c>
      <c r="U32" s="715">
        <f t="shared" si="13"/>
        <v>100</v>
      </c>
      <c r="V32" s="714" t="s">
        <v>17</v>
      </c>
      <c r="W32" s="715">
        <f t="shared" si="14"/>
        <v>100</v>
      </c>
      <c r="X32" s="1490"/>
      <c r="Y32" s="3534"/>
      <c r="Z32" s="1491" t="str">
        <f t="shared" si="15"/>
        <v>公共部分装修</v>
      </c>
      <c r="AA32" s="1488">
        <f t="shared" si="3"/>
        <v>1</v>
      </c>
      <c r="AB32" s="1488">
        <f t="shared" si="4"/>
        <v>1</v>
      </c>
      <c r="AC32" s="1488">
        <f t="shared" si="5"/>
        <v>1</v>
      </c>
    </row>
    <row r="33" spans="1:29" ht="15">
      <c r="A33" s="431"/>
      <c r="B33" s="381" t="s">
        <v>2237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34"/>
      <c r="Q33" s="1487" t="str">
        <f t="shared" si="11"/>
        <v>成新度</v>
      </c>
      <c r="R33" s="714" t="s">
        <v>17</v>
      </c>
      <c r="S33" s="715" t="e">
        <f t="shared" si="12"/>
        <v>#N/A</v>
      </c>
      <c r="T33" s="714" t="s">
        <v>17</v>
      </c>
      <c r="U33" s="715" t="e">
        <f t="shared" si="13"/>
        <v>#N/A</v>
      </c>
      <c r="V33" s="714" t="s">
        <v>17</v>
      </c>
      <c r="W33" s="715" t="e">
        <f t="shared" si="14"/>
        <v>#N/A</v>
      </c>
      <c r="X33" s="1490"/>
      <c r="Y33" s="3534"/>
      <c r="Z33" s="1491" t="str">
        <f t="shared" si="15"/>
        <v>成新度</v>
      </c>
      <c r="AA33" s="1488" t="e">
        <f t="shared" si="3"/>
        <v>#N/A</v>
      </c>
      <c r="AB33" s="1488" t="e">
        <f t="shared" si="4"/>
        <v>#N/A</v>
      </c>
      <c r="AC33" s="1488" t="e">
        <f t="shared" si="5"/>
        <v>#N/A</v>
      </c>
    </row>
    <row r="34" spans="1:29" s="113" customFormat="1" ht="15">
      <c r="A34" s="432"/>
      <c r="B34" s="381" t="s">
        <v>2270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34"/>
      <c r="Q34" s="1478" t="str">
        <f t="shared" si="11"/>
        <v>物业管理</v>
      </c>
      <c r="R34" s="710" t="s">
        <v>17</v>
      </c>
      <c r="S34" s="711">
        <f t="shared" si="12"/>
        <v>100</v>
      </c>
      <c r="T34" s="710" t="s">
        <v>17</v>
      </c>
      <c r="U34" s="711">
        <f t="shared" si="13"/>
        <v>100</v>
      </c>
      <c r="V34" s="710" t="s">
        <v>17</v>
      </c>
      <c r="W34" s="711">
        <f t="shared" si="14"/>
        <v>100</v>
      </c>
      <c r="X34" s="712"/>
      <c r="Y34" s="3534"/>
      <c r="Z34" s="55" t="str">
        <f t="shared" si="15"/>
        <v>物业管理</v>
      </c>
      <c r="AA34" s="713">
        <f t="shared" si="3"/>
        <v>1</v>
      </c>
      <c r="AB34" s="713">
        <f t="shared" si="4"/>
        <v>1</v>
      </c>
      <c r="AC34" s="713">
        <f t="shared" si="5"/>
        <v>1</v>
      </c>
    </row>
    <row r="35" spans="1:29" ht="15">
      <c r="A35" s="431"/>
      <c r="B35" s="381" t="s">
        <v>2238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34" t="s">
        <v>2140</v>
      </c>
      <c r="Q35" s="1487" t="str">
        <f t="shared" si="11"/>
        <v>市政基础设施</v>
      </c>
      <c r="R35" s="714" t="s">
        <v>17</v>
      </c>
      <c r="S35" s="715">
        <f t="shared" si="12"/>
        <v>100</v>
      </c>
      <c r="T35" s="714" t="s">
        <v>17</v>
      </c>
      <c r="U35" s="715">
        <f t="shared" si="13"/>
        <v>100</v>
      </c>
      <c r="V35" s="714" t="s">
        <v>17</v>
      </c>
      <c r="W35" s="715">
        <f t="shared" si="14"/>
        <v>100</v>
      </c>
      <c r="X35" s="1490"/>
      <c r="Y35" s="3534" t="s">
        <v>2140</v>
      </c>
      <c r="Z35" s="1491" t="str">
        <f t="shared" si="15"/>
        <v>市政基础设施</v>
      </c>
      <c r="AA35" s="1488">
        <f t="shared" si="3"/>
        <v>1</v>
      </c>
      <c r="AB35" s="1488">
        <f t="shared" si="4"/>
        <v>1</v>
      </c>
      <c r="AC35" s="1488">
        <f t="shared" si="5"/>
        <v>1</v>
      </c>
    </row>
    <row r="36" spans="1:29" ht="15">
      <c r="A36" s="431"/>
      <c r="B36" s="381" t="s">
        <v>2243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34"/>
      <c r="Q36" s="1487" t="str">
        <f t="shared" si="11"/>
        <v>内部装修</v>
      </c>
      <c r="R36" s="714" t="s">
        <v>17</v>
      </c>
      <c r="S36" s="715">
        <f t="shared" si="12"/>
        <v>100</v>
      </c>
      <c r="T36" s="714" t="s">
        <v>17</v>
      </c>
      <c r="U36" s="715">
        <f t="shared" si="13"/>
        <v>100</v>
      </c>
      <c r="V36" s="714" t="s">
        <v>17</v>
      </c>
      <c r="W36" s="715">
        <f t="shared" si="14"/>
        <v>100</v>
      </c>
      <c r="X36" s="1490"/>
      <c r="Y36" s="3534"/>
      <c r="Z36" s="1491" t="str">
        <f t="shared" si="15"/>
        <v>内部装修</v>
      </c>
      <c r="AA36" s="1488">
        <f t="shared" si="3"/>
        <v>1</v>
      </c>
      <c r="AB36" s="1488">
        <f t="shared" si="4"/>
        <v>1</v>
      </c>
      <c r="AC36" s="1488">
        <f t="shared" si="5"/>
        <v>1</v>
      </c>
    </row>
    <row r="37" spans="1:29" ht="15">
      <c r="A37" s="431"/>
      <c r="B37" s="381" t="s">
        <v>2279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34"/>
      <c r="Q37" s="1487" t="str">
        <f t="shared" si="11"/>
        <v>内部装修状况</v>
      </c>
      <c r="R37" s="714" t="s">
        <v>17</v>
      </c>
      <c r="S37" s="715">
        <f t="shared" si="12"/>
        <v>100</v>
      </c>
      <c r="T37" s="714" t="s">
        <v>17</v>
      </c>
      <c r="U37" s="715">
        <f t="shared" si="13"/>
        <v>100</v>
      </c>
      <c r="V37" s="714" t="s">
        <v>17</v>
      </c>
      <c r="W37" s="715">
        <f t="shared" si="14"/>
        <v>100</v>
      </c>
      <c r="X37" s="1490"/>
      <c r="Y37" s="353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34"/>
      <c r="Q38" s="716">
        <f t="shared" si="11"/>
        <v>111</v>
      </c>
      <c r="R38" s="717" t="s">
        <v>17</v>
      </c>
      <c r="S38" s="718">
        <f t="shared" si="12"/>
        <v>100</v>
      </c>
      <c r="T38" s="717" t="s">
        <v>17</v>
      </c>
      <c r="U38" s="718">
        <f t="shared" si="13"/>
        <v>100</v>
      </c>
      <c r="V38" s="717" t="s">
        <v>17</v>
      </c>
      <c r="W38" s="718">
        <f t="shared" si="14"/>
        <v>100</v>
      </c>
      <c r="X38" s="719"/>
      <c r="Y38" s="353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34"/>
      <c r="Q39" s="1487">
        <f t="shared" si="11"/>
        <v>111</v>
      </c>
      <c r="R39" s="714" t="s">
        <v>17</v>
      </c>
      <c r="S39" s="715">
        <f t="shared" si="12"/>
        <v>100</v>
      </c>
      <c r="T39" s="714" t="s">
        <v>17</v>
      </c>
      <c r="U39" s="715">
        <f t="shared" si="13"/>
        <v>100</v>
      </c>
      <c r="V39" s="714" t="s">
        <v>17</v>
      </c>
      <c r="W39" s="715">
        <f t="shared" si="14"/>
        <v>100</v>
      </c>
      <c r="X39" s="1490"/>
      <c r="Y39" s="3534"/>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5"/>
      <c r="Q40" s="1487">
        <f t="shared" si="11"/>
        <v>111</v>
      </c>
      <c r="R40" s="714" t="s">
        <v>17</v>
      </c>
      <c r="S40" s="715">
        <f t="shared" si="12"/>
        <v>100</v>
      </c>
      <c r="T40" s="714" t="s">
        <v>17</v>
      </c>
      <c r="U40" s="715">
        <f t="shared" si="13"/>
        <v>100</v>
      </c>
      <c r="V40" s="714" t="s">
        <v>17</v>
      </c>
      <c r="W40" s="715">
        <f t="shared" si="14"/>
        <v>100</v>
      </c>
      <c r="X40" s="1490"/>
      <c r="Y40" s="3535"/>
      <c r="Z40" s="1491">
        <f t="shared" si="15"/>
        <v>111</v>
      </c>
      <c r="AA40" s="1488">
        <f t="shared" si="3"/>
        <v>1</v>
      </c>
      <c r="AB40" s="1488">
        <f t="shared" si="4"/>
        <v>1</v>
      </c>
      <c r="AC40" s="1488">
        <f t="shared" si="5"/>
        <v>1</v>
      </c>
    </row>
    <row r="41" spans="1:29" ht="15">
      <c r="A41" s="438" t="s">
        <v>2152</v>
      </c>
      <c r="B41" s="439"/>
      <c r="C41" s="1269" t="s">
        <v>1</v>
      </c>
      <c r="D41" s="1270"/>
      <c r="E41" s="1271"/>
      <c r="F41" s="1272"/>
      <c r="G41" s="1273"/>
      <c r="H41" s="1274"/>
      <c r="I41" s="1271"/>
      <c r="J41" s="1274"/>
      <c r="K41" s="723"/>
      <c r="L41" s="1038"/>
      <c r="M41" s="1039"/>
      <c r="N41" s="1026"/>
      <c r="O41" s="1039"/>
      <c r="P41" s="3527" t="str">
        <f>A41</f>
        <v>成交单价（元/平方米）</v>
      </c>
      <c r="Q41" s="3527"/>
      <c r="R41" s="3528">
        <f>E41</f>
        <v>0</v>
      </c>
      <c r="S41" s="3528"/>
      <c r="T41" s="3528">
        <f>G41</f>
        <v>0</v>
      </c>
      <c r="U41" s="3528"/>
      <c r="V41" s="3528">
        <f>I41</f>
        <v>0</v>
      </c>
      <c r="W41" s="3528"/>
      <c r="X41" s="699"/>
      <c r="Y41" s="721"/>
      <c r="Z41" s="699"/>
      <c r="AA41" s="699"/>
      <c r="AB41" s="699"/>
      <c r="AC41" s="699"/>
    </row>
    <row r="42" spans="1:29" ht="15.75" thickBot="1">
      <c r="A42" s="445" t="s">
        <v>2244</v>
      </c>
      <c r="B42" s="446"/>
      <c r="C42" s="1275" t="e">
        <f>R43</f>
        <v>#DIV/0!</v>
      </c>
      <c r="D42" s="2488" t="s">
        <v>2634</v>
      </c>
      <c r="E42" s="1276" t="e">
        <f>R42</f>
        <v>#DIV/0!</v>
      </c>
      <c r="F42" s="2489"/>
      <c r="G42" s="1275" t="e">
        <f>T42</f>
        <v>#DIV/0!</v>
      </c>
      <c r="H42" s="2489"/>
      <c r="I42" s="1276" t="e">
        <f>V42</f>
        <v>#DIV/0!</v>
      </c>
      <c r="J42" s="2489"/>
      <c r="K42" s="2491">
        <f>F42+H42+J42</f>
        <v>0</v>
      </c>
      <c r="L42" s="1038"/>
      <c r="M42" s="1039"/>
      <c r="N42" s="1026"/>
      <c r="O42" s="1039"/>
      <c r="P42" s="3527" t="str">
        <f>A42</f>
        <v>比较价值（元/平方米）</v>
      </c>
      <c r="Q42" s="3527"/>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699"/>
      <c r="Y42" s="699"/>
      <c r="Z42" s="699"/>
      <c r="AA42" s="699"/>
      <c r="AB42" s="699"/>
      <c r="AC42" s="699"/>
    </row>
    <row r="43" spans="1:29" ht="15.75" thickBot="1">
      <c r="A43" s="449" t="s">
        <v>2245</v>
      </c>
      <c r="B43" s="450"/>
      <c r="C43" s="1278" t="e">
        <f>R43</f>
        <v>#DIV/0!</v>
      </c>
      <c r="D43" s="1278"/>
      <c r="E43" s="1278"/>
      <c r="F43" s="1278"/>
      <c r="G43" s="1278"/>
      <c r="H43" s="1278"/>
      <c r="I43" s="1278"/>
      <c r="J43" s="1278"/>
      <c r="K43" s="724"/>
      <c r="L43" s="1038"/>
      <c r="M43" s="1039"/>
      <c r="N43" s="1039"/>
      <c r="O43" s="1039"/>
      <c r="P43" s="3524" t="str">
        <f>A43</f>
        <v>估价对象XX用房的比较价值（楼面单价，元/平方米）</v>
      </c>
      <c r="Q43" s="3525"/>
      <c r="R43" s="3526" t="e">
        <f>IF(F1="售价",ROUND(IF(D42="简单平均",AVERAGE(R42:V42),R42*F42+T42*H42+V42*J42),0),ROUND(IF(D42="简单平均",AVERAGE(R42:V42),R42*F42+T42*H42+V42*J42),1))</f>
        <v>#DIV/0!</v>
      </c>
      <c r="S43" s="3526"/>
      <c r="T43" s="3526"/>
      <c r="U43" s="3526"/>
      <c r="V43" s="3526"/>
      <c r="W43" s="3526"/>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2249</v>
      </c>
      <c r="B51" s="699"/>
      <c r="C51" s="704"/>
      <c r="D51" s="704"/>
      <c r="E51" s="704"/>
      <c r="F51" s="705"/>
      <c r="G51" s="705"/>
      <c r="H51" s="704"/>
      <c r="I51" s="704"/>
      <c r="J51" s="704"/>
      <c r="K51" s="1053"/>
      <c r="L51" s="1054"/>
      <c r="M51" s="1052"/>
      <c r="N51" s="1052"/>
      <c r="O51" s="1052"/>
      <c r="P51" s="460"/>
      <c r="Q51" s="461"/>
    </row>
    <row r="52" spans="1:17" s="465" customFormat="1" ht="15">
      <c r="A52" s="462" t="s">
        <v>2123</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2160</v>
      </c>
      <c r="B54" s="473"/>
      <c r="C54" s="474"/>
      <c r="D54" s="475"/>
      <c r="E54" s="475"/>
      <c r="F54" s="475"/>
      <c r="G54" s="475"/>
      <c r="H54" s="475"/>
      <c r="I54" s="475"/>
      <c r="J54" s="475"/>
      <c r="K54" s="475"/>
      <c r="L54" s="475"/>
      <c r="M54" s="476"/>
      <c r="N54" s="2946"/>
      <c r="O54" s="2947"/>
      <c r="P54" s="461"/>
      <c r="Q54" s="461"/>
    </row>
    <row r="55" spans="1:17" s="113" customFormat="1" ht="15">
      <c r="A55" s="478" t="s">
        <v>2125</v>
      </c>
      <c r="B55" s="467"/>
      <c r="C55" s="479" t="s">
        <v>2227</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2163</v>
      </c>
      <c r="B57" s="485" t="s">
        <v>2129</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2132</v>
      </c>
      <c r="C59" s="496" t="s">
        <v>2164</v>
      </c>
      <c r="D59" s="496" t="s">
        <v>2165</v>
      </c>
      <c r="E59" s="496" t="s">
        <v>2166</v>
      </c>
      <c r="F59" s="496" t="s">
        <v>2167</v>
      </c>
      <c r="G59" s="496" t="s">
        <v>2168</v>
      </c>
      <c r="H59" s="496" t="s">
        <v>2169</v>
      </c>
      <c r="I59" s="496" t="s">
        <v>2170</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2134</v>
      </c>
      <c r="B70" s="485" t="s">
        <v>2280</v>
      </c>
      <c r="C70" s="530" t="s">
        <v>2172</v>
      </c>
      <c r="D70" s="530" t="s">
        <v>2173</v>
      </c>
      <c r="E70" s="530" t="s">
        <v>2174</v>
      </c>
      <c r="F70" s="530" t="s">
        <v>2175</v>
      </c>
      <c r="G70" s="530" t="s">
        <v>2176</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2177</v>
      </c>
      <c r="C72" s="535" t="s">
        <v>2172</v>
      </c>
      <c r="D72" s="535" t="s">
        <v>2173</v>
      </c>
      <c r="E72" s="535" t="s">
        <v>2174</v>
      </c>
      <c r="F72" s="535" t="s">
        <v>2175</v>
      </c>
      <c r="G72" s="535" t="s">
        <v>2176</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2178</v>
      </c>
      <c r="C74" s="535" t="s">
        <v>2172</v>
      </c>
      <c r="D74" s="535" t="s">
        <v>2173</v>
      </c>
      <c r="E74" s="535" t="s">
        <v>2174</v>
      </c>
      <c r="F74" s="535" t="s">
        <v>2175</v>
      </c>
      <c r="G74" s="535" t="s">
        <v>2176</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2264</v>
      </c>
      <c r="C76" s="616" t="s">
        <v>2250</v>
      </c>
      <c r="D76" s="616" t="s">
        <v>2251</v>
      </c>
      <c r="E76" s="616" t="s">
        <v>2252</v>
      </c>
      <c r="F76" s="616" t="s">
        <v>2253</v>
      </c>
      <c r="G76" s="616" t="s">
        <v>2254</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2273</v>
      </c>
      <c r="C78" s="535" t="s">
        <v>2172</v>
      </c>
      <c r="D78" s="535" t="s">
        <v>2173</v>
      </c>
      <c r="E78" s="535" t="s">
        <v>2174</v>
      </c>
      <c r="F78" s="535" t="s">
        <v>2175</v>
      </c>
      <c r="G78" s="535" t="s">
        <v>2176</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2138</v>
      </c>
      <c r="B88" s="485" t="s">
        <v>2187</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2188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2189</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2191</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2192</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2193</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2195</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2281</v>
      </c>
      <c r="C106" s="535" t="s">
        <v>2172</v>
      </c>
      <c r="D106" s="535" t="s">
        <v>2173</v>
      </c>
      <c r="E106" s="535" t="s">
        <v>2174</v>
      </c>
      <c r="F106" s="535" t="s">
        <v>2175</v>
      </c>
      <c r="G106" s="535" t="s">
        <v>2176</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47"/>
      <c r="F1" s="2015"/>
      <c r="G1" s="1348" t="s">
        <v>2218</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1903</v>
      </c>
      <c r="B2" s="1279" t="e">
        <f ca="1">IF(C2="——",IF(B37="元/平方米",ROUND(C39*D3/10000,0),ROUND(F3*C39/10000,0)),IF(B37="元/平方米",ROUND(C39*D3/10000,0),ROUND(F3*C39/10000,0))-D2)</f>
        <v>#DIV/0!</v>
      </c>
      <c r="C2" s="2017"/>
      <c r="D2" s="1019" t="e">
        <f ca="1">SUMIF(INDIRECT("'"&amp;F2&amp;"'"&amp;"!A:A"),"承租人权益价值",INDIRECT("'"&amp;F2&amp;"'"&amp;"!c:c"))</f>
        <v>#REF!</v>
      </c>
      <c r="E2" s="2018" t="s">
        <v>1904</v>
      </c>
      <c r="F2" s="2019"/>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1905</v>
      </c>
      <c r="B3" s="566" t="e">
        <f ca="1">IF(AND(C2="——",B37="元/平方米"),C39,ROUND(B2*10000/D3,0))</f>
        <v>#DIV/0!</v>
      </c>
      <c r="C3" s="360" t="s">
        <v>2219</v>
      </c>
      <c r="D3" s="359">
        <f>SUMIF('数据-汇总表'!$C19:$C33,D1,'数据-汇总表'!$E19:$E33)</f>
        <v>0</v>
      </c>
      <c r="E3" s="360" t="s">
        <v>2283</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2220</v>
      </c>
      <c r="B4" s="362"/>
      <c r="C4" s="3510" t="s">
        <v>2221</v>
      </c>
      <c r="D4" s="3511"/>
      <c r="E4" s="3512" t="s">
        <v>2222</v>
      </c>
      <c r="F4" s="3513"/>
      <c r="G4" s="3510" t="s">
        <v>2223</v>
      </c>
      <c r="H4" s="3511"/>
      <c r="I4" s="3510" t="s">
        <v>2224</v>
      </c>
      <c r="J4" s="3511"/>
      <c r="K4" s="567" t="s">
        <v>2225</v>
      </c>
      <c r="L4" s="2891"/>
      <c r="M4" s="2892"/>
      <c r="N4" s="2892"/>
      <c r="O4" s="2892"/>
      <c r="P4" s="3514" t="s">
        <v>2226</v>
      </c>
      <c r="Q4" s="3515"/>
      <c r="R4" s="3497" t="s">
        <v>2222</v>
      </c>
      <c r="S4" s="3498"/>
      <c r="T4" s="3497" t="s">
        <v>2223</v>
      </c>
      <c r="U4" s="3498"/>
      <c r="V4" s="3522" t="s">
        <v>2224</v>
      </c>
      <c r="W4" s="3522"/>
      <c r="X4" s="1490"/>
      <c r="Y4" s="3497" t="s">
        <v>2226</v>
      </c>
      <c r="Z4" s="3498"/>
      <c r="AA4" s="3492" t="s">
        <v>2222</v>
      </c>
      <c r="AB4" s="3493" t="s">
        <v>2223</v>
      </c>
      <c r="AC4" s="3492" t="s">
        <v>2224</v>
      </c>
    </row>
    <row r="5" spans="1:29" ht="15">
      <c r="A5" s="364"/>
      <c r="B5" s="365"/>
      <c r="C5" s="3503" t="s">
        <v>2117</v>
      </c>
      <c r="D5" s="3504"/>
      <c r="E5" s="3501" t="s">
        <v>2118</v>
      </c>
      <c r="F5" s="3502"/>
      <c r="G5" s="3503" t="s">
        <v>2119</v>
      </c>
      <c r="H5" s="3504"/>
      <c r="I5" s="3503" t="s">
        <v>2120</v>
      </c>
      <c r="J5" s="3504"/>
      <c r="K5" s="567"/>
      <c r="L5" s="2891"/>
      <c r="M5" s="2892"/>
      <c r="N5" s="2892"/>
      <c r="O5" s="2892"/>
      <c r="P5" s="3516"/>
      <c r="Q5" s="3517"/>
      <c r="R5" s="3499"/>
      <c r="S5" s="3500"/>
      <c r="T5" s="3499"/>
      <c r="U5" s="3500"/>
      <c r="V5" s="3522"/>
      <c r="W5" s="3522"/>
      <c r="X5" s="1490"/>
      <c r="Y5" s="3499"/>
      <c r="Z5" s="3500"/>
      <c r="AA5" s="3493"/>
      <c r="AB5" s="3493"/>
      <c r="AC5" s="3493"/>
    </row>
    <row r="6" spans="1:29" ht="15.75" thickBot="1">
      <c r="A6" s="366"/>
      <c r="B6" s="367"/>
      <c r="C6" s="3505" t="s">
        <v>2121</v>
      </c>
      <c r="D6" s="3506"/>
      <c r="E6" s="3507" t="s">
        <v>2121</v>
      </c>
      <c r="F6" s="3508"/>
      <c r="G6" s="3505" t="s">
        <v>2121</v>
      </c>
      <c r="H6" s="3506"/>
      <c r="I6" s="3505" t="s">
        <v>2121</v>
      </c>
      <c r="J6" s="3506"/>
      <c r="K6" s="567" t="s">
        <v>2122</v>
      </c>
      <c r="L6" s="2891"/>
      <c r="M6" s="2892"/>
      <c r="N6" s="2892"/>
      <c r="O6" s="2892"/>
      <c r="P6" s="3518"/>
      <c r="Q6" s="3519"/>
      <c r="R6" s="3499"/>
      <c r="S6" s="3500"/>
      <c r="T6" s="3520"/>
      <c r="U6" s="3521"/>
      <c r="V6" s="3522"/>
      <c r="W6" s="3522"/>
      <c r="X6" s="1490"/>
      <c r="Y6" s="3520"/>
      <c r="Z6" s="3521"/>
      <c r="AA6" s="3494"/>
      <c r="AB6" s="3494"/>
      <c r="AC6" s="3494"/>
    </row>
    <row r="7" spans="1:29" s="113" customFormat="1" ht="15.75" thickBot="1">
      <c r="A7" s="368" t="s">
        <v>2123</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93"/>
      <c r="M7" s="2894"/>
      <c r="N7" s="2894"/>
      <c r="O7" s="2894"/>
      <c r="P7" s="3495" t="s">
        <v>2124</v>
      </c>
      <c r="Q7" s="3523"/>
      <c r="R7" s="710" t="s">
        <v>17</v>
      </c>
      <c r="S7" s="711">
        <f t="shared" ref="S7:S14" si="0">F7</f>
        <v>0</v>
      </c>
      <c r="T7" s="710" t="s">
        <v>17</v>
      </c>
      <c r="U7" s="711">
        <f t="shared" ref="U7:U14" si="1">H7</f>
        <v>0</v>
      </c>
      <c r="V7" s="710" t="s">
        <v>17</v>
      </c>
      <c r="W7" s="711">
        <f t="shared" ref="W7:W14" si="2">J7</f>
        <v>0</v>
      </c>
      <c r="X7" s="712"/>
      <c r="Y7" s="3495" t="s">
        <v>2124</v>
      </c>
      <c r="Z7" s="3496"/>
      <c r="AA7" s="713" t="e">
        <f>D7/F7</f>
        <v>#DIV/0!</v>
      </c>
      <c r="AB7" s="713" t="e">
        <f>D7/H7</f>
        <v>#DIV/0!</v>
      </c>
      <c r="AC7" s="713" t="e">
        <f>D7/J7</f>
        <v>#DIV/0!</v>
      </c>
    </row>
    <row r="8" spans="1:29" s="113" customFormat="1" ht="15.75" thickBot="1">
      <c r="A8" s="368" t="s">
        <v>2125</v>
      </c>
      <c r="B8" s="369"/>
      <c r="C8" s="374" t="s">
        <v>2227</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495" t="s">
        <v>2127</v>
      </c>
      <c r="Q8" s="3496"/>
      <c r="R8" s="710" t="s">
        <v>17</v>
      </c>
      <c r="S8" s="711">
        <f t="shared" si="0"/>
        <v>0</v>
      </c>
      <c r="T8" s="710" t="s">
        <v>17</v>
      </c>
      <c r="U8" s="711">
        <f t="shared" si="1"/>
        <v>0</v>
      </c>
      <c r="V8" s="710" t="s">
        <v>17</v>
      </c>
      <c r="W8" s="711">
        <f t="shared" si="2"/>
        <v>0</v>
      </c>
      <c r="X8" s="712"/>
      <c r="Y8" s="3495" t="s">
        <v>2127</v>
      </c>
      <c r="Z8" s="3496"/>
      <c r="AA8" s="713" t="e">
        <f t="shared" ref="AA8:AA36" si="3">D8/F8</f>
        <v>#DIV/0!</v>
      </c>
      <c r="AB8" s="713" t="e">
        <f t="shared" ref="AB8:AB36" si="4">D8/H8</f>
        <v>#DIV/0!</v>
      </c>
      <c r="AC8" s="713" t="e">
        <f t="shared" ref="AC8:AC36" si="5">D8/J8</f>
        <v>#DIV/0!</v>
      </c>
    </row>
    <row r="9" spans="1:29" s="113" customFormat="1">
      <c r="A9" s="64" t="s">
        <v>2128</v>
      </c>
      <c r="B9" s="596" t="s">
        <v>2129</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527" t="s">
        <v>2130</v>
      </c>
      <c r="Q9" s="1478" t="str">
        <f t="shared" ref="Q9:Q14" si="6">B9</f>
        <v>用途</v>
      </c>
      <c r="R9" s="710" t="s">
        <v>17</v>
      </c>
      <c r="S9" s="711">
        <f t="shared" si="0"/>
        <v>100</v>
      </c>
      <c r="T9" s="710" t="s">
        <v>17</v>
      </c>
      <c r="U9" s="711">
        <f t="shared" si="1"/>
        <v>100</v>
      </c>
      <c r="V9" s="710" t="s">
        <v>17</v>
      </c>
      <c r="W9" s="711">
        <f t="shared" si="2"/>
        <v>100</v>
      </c>
      <c r="X9" s="712"/>
      <c r="Y9" s="3439" t="s">
        <v>2131</v>
      </c>
      <c r="Z9" s="55" t="str">
        <f t="shared" ref="Z9:Z14" si="7">Q9</f>
        <v>用途</v>
      </c>
      <c r="AA9" s="713">
        <f t="shared" si="3"/>
        <v>1</v>
      </c>
      <c r="AB9" s="713">
        <f t="shared" si="4"/>
        <v>1</v>
      </c>
      <c r="AC9" s="713">
        <f t="shared" si="5"/>
        <v>1</v>
      </c>
    </row>
    <row r="10" spans="1:29" s="386" customFormat="1" ht="27">
      <c r="A10" s="597"/>
      <c r="B10" s="598" t="s">
        <v>2132</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527"/>
      <c r="Q10" s="1478" t="str">
        <f t="shared" si="6"/>
        <v>土地使用年限（年）</v>
      </c>
      <c r="R10" s="710" t="s">
        <v>17</v>
      </c>
      <c r="S10" s="711">
        <f t="shared" si="0"/>
        <v>100</v>
      </c>
      <c r="T10" s="710" t="s">
        <v>17</v>
      </c>
      <c r="U10" s="711">
        <f t="shared" si="1"/>
        <v>100</v>
      </c>
      <c r="V10" s="710" t="s">
        <v>17</v>
      </c>
      <c r="W10" s="711">
        <f t="shared" si="2"/>
        <v>100</v>
      </c>
      <c r="X10" s="712"/>
      <c r="Y10" s="343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527"/>
      <c r="Q11" s="1478">
        <f t="shared" si="6"/>
        <v>111</v>
      </c>
      <c r="R11" s="710" t="s">
        <v>17</v>
      </c>
      <c r="S11" s="711">
        <f t="shared" si="0"/>
        <v>100</v>
      </c>
      <c r="T11" s="710" t="s">
        <v>17</v>
      </c>
      <c r="U11" s="711">
        <f t="shared" si="1"/>
        <v>100</v>
      </c>
      <c r="V11" s="710" t="s">
        <v>17</v>
      </c>
      <c r="W11" s="711">
        <f t="shared" si="2"/>
        <v>100</v>
      </c>
      <c r="X11" s="712"/>
      <c r="Y11" s="343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527"/>
      <c r="Q12" s="1478">
        <f t="shared" si="6"/>
        <v>111</v>
      </c>
      <c r="R12" s="710" t="s">
        <v>17</v>
      </c>
      <c r="S12" s="711">
        <f t="shared" si="0"/>
        <v>100</v>
      </c>
      <c r="T12" s="710" t="s">
        <v>17</v>
      </c>
      <c r="U12" s="711">
        <f t="shared" si="1"/>
        <v>100</v>
      </c>
      <c r="V12" s="710" t="s">
        <v>17</v>
      </c>
      <c r="W12" s="711">
        <f t="shared" si="2"/>
        <v>100</v>
      </c>
      <c r="X12" s="712"/>
      <c r="Y12" s="343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527"/>
      <c r="Q13" s="1478">
        <f t="shared" si="6"/>
        <v>111</v>
      </c>
      <c r="R13" s="710" t="s">
        <v>17</v>
      </c>
      <c r="S13" s="711">
        <f t="shared" si="0"/>
        <v>100</v>
      </c>
      <c r="T13" s="710" t="s">
        <v>17</v>
      </c>
      <c r="U13" s="711">
        <f t="shared" si="1"/>
        <v>100</v>
      </c>
      <c r="V13" s="710" t="s">
        <v>17</v>
      </c>
      <c r="W13" s="711">
        <f t="shared" si="2"/>
        <v>100</v>
      </c>
      <c r="X13" s="712"/>
      <c r="Y13" s="3439"/>
      <c r="Z13" s="55">
        <f t="shared" si="7"/>
        <v>111</v>
      </c>
      <c r="AA13" s="713">
        <f t="shared" si="3"/>
        <v>1</v>
      </c>
      <c r="AB13" s="713">
        <f t="shared" si="4"/>
        <v>1</v>
      </c>
      <c r="AC13" s="713">
        <f t="shared" si="5"/>
        <v>1</v>
      </c>
    </row>
    <row r="14" spans="1:29" ht="15">
      <c r="A14" s="361" t="s">
        <v>2134</v>
      </c>
      <c r="B14" s="585" t="s">
        <v>2284</v>
      </c>
      <c r="C14" s="2107"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529" t="s">
        <v>2135</v>
      </c>
      <c r="Q14" s="1487" t="str">
        <f t="shared" si="6"/>
        <v>交通便捷度</v>
      </c>
      <c r="R14" s="714" t="s">
        <v>17</v>
      </c>
      <c r="S14" s="715">
        <f t="shared" si="0"/>
        <v>100</v>
      </c>
      <c r="T14" s="714" t="s">
        <v>17</v>
      </c>
      <c r="U14" s="715">
        <f t="shared" si="1"/>
        <v>100</v>
      </c>
      <c r="V14" s="714" t="s">
        <v>17</v>
      </c>
      <c r="W14" s="715">
        <f t="shared" si="2"/>
        <v>100</v>
      </c>
      <c r="X14" s="1490"/>
      <c r="Y14" s="3529" t="s">
        <v>2135</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530"/>
      <c r="Q15" s="1487"/>
      <c r="R15" s="714"/>
      <c r="S15" s="715"/>
      <c r="T15" s="714"/>
      <c r="U15" s="715"/>
      <c r="V15" s="714"/>
      <c r="W15" s="715"/>
      <c r="X15" s="1490"/>
      <c r="Y15" s="3530"/>
      <c r="Z15" s="1491"/>
      <c r="AA15" s="1488">
        <v>1</v>
      </c>
      <c r="AB15" s="1488">
        <v>1</v>
      </c>
      <c r="AC15" s="1488">
        <v>1</v>
      </c>
    </row>
    <row r="16" spans="1:29" ht="15">
      <c r="A16" s="364"/>
      <c r="B16" s="587" t="s">
        <v>2263</v>
      </c>
      <c r="C16" s="2036"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530"/>
      <c r="Q16" s="1487" t="str">
        <f>B16</f>
        <v>公共配套设施</v>
      </c>
      <c r="R16" s="714" t="s">
        <v>17</v>
      </c>
      <c r="S16" s="715">
        <f>F16</f>
        <v>100</v>
      </c>
      <c r="T16" s="714" t="s">
        <v>17</v>
      </c>
      <c r="U16" s="715">
        <f>H16</f>
        <v>100</v>
      </c>
      <c r="V16" s="714" t="s">
        <v>17</v>
      </c>
      <c r="W16" s="715">
        <f>J16</f>
        <v>100</v>
      </c>
      <c r="X16" s="1490"/>
      <c r="Y16" s="3530"/>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8"/>
      <c r="M17" s="2892"/>
      <c r="N17" s="2892"/>
      <c r="O17" s="2892"/>
      <c r="P17" s="3530"/>
      <c r="Q17" s="1487"/>
      <c r="R17" s="714"/>
      <c r="S17" s="715"/>
      <c r="T17" s="714"/>
      <c r="U17" s="715"/>
      <c r="V17" s="714"/>
      <c r="W17" s="715"/>
      <c r="X17" s="1490"/>
      <c r="Y17" s="3530"/>
      <c r="Z17" s="1491"/>
      <c r="AA17" s="1488">
        <v>1</v>
      </c>
      <c r="AB17" s="1488">
        <v>1</v>
      </c>
      <c r="AC17" s="1488">
        <v>1</v>
      </c>
    </row>
    <row r="18" spans="1:29" ht="15">
      <c r="A18" s="364"/>
      <c r="B18" s="589" t="s">
        <v>2264</v>
      </c>
      <c r="C18" s="203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530"/>
      <c r="Q18" s="1487" t="str">
        <f>B18</f>
        <v>基础设施水平</v>
      </c>
      <c r="R18" s="714" t="s">
        <v>17</v>
      </c>
      <c r="S18" s="715">
        <f>F18</f>
        <v>100</v>
      </c>
      <c r="T18" s="714" t="s">
        <v>17</v>
      </c>
      <c r="U18" s="715">
        <f>H18</f>
        <v>100</v>
      </c>
      <c r="V18" s="714" t="s">
        <v>17</v>
      </c>
      <c r="W18" s="715">
        <f>J18</f>
        <v>100</v>
      </c>
      <c r="X18" s="1490"/>
      <c r="Y18" s="3530"/>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8"/>
      <c r="M19" s="2892"/>
      <c r="N19" s="2892"/>
      <c r="O19" s="2892"/>
      <c r="P19" s="3530"/>
      <c r="Q19" s="1487"/>
      <c r="R19" s="714"/>
      <c r="S19" s="715"/>
      <c r="T19" s="714"/>
      <c r="U19" s="715"/>
      <c r="V19" s="714"/>
      <c r="W19" s="715"/>
      <c r="X19" s="1490"/>
      <c r="Y19" s="3530"/>
      <c r="Z19" s="1491"/>
      <c r="AA19" s="1488">
        <v>1</v>
      </c>
      <c r="AB19" s="1488">
        <v>1</v>
      </c>
      <c r="AC19" s="1488">
        <v>1</v>
      </c>
    </row>
    <row r="20" spans="1:29" ht="15">
      <c r="A20" s="364"/>
      <c r="B20" s="587" t="s">
        <v>2285</v>
      </c>
      <c r="C20" s="2036"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530"/>
      <c r="Q20" s="1487" t="str">
        <f>B20</f>
        <v>自然及人文环境</v>
      </c>
      <c r="R20" s="714" t="s">
        <v>17</v>
      </c>
      <c r="S20" s="715">
        <f>F20</f>
        <v>100</v>
      </c>
      <c r="T20" s="714" t="s">
        <v>17</v>
      </c>
      <c r="U20" s="715">
        <f>H20</f>
        <v>100</v>
      </c>
      <c r="V20" s="714" t="s">
        <v>17</v>
      </c>
      <c r="W20" s="715">
        <f>J20</f>
        <v>100</v>
      </c>
      <c r="X20" s="1490"/>
      <c r="Y20" s="353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530"/>
      <c r="Q21" s="1487"/>
      <c r="R21" s="714"/>
      <c r="S21" s="715"/>
      <c r="T21" s="714"/>
      <c r="U21" s="715"/>
      <c r="V21" s="714"/>
      <c r="W21" s="715"/>
      <c r="X21" s="1490"/>
      <c r="Y21" s="3530"/>
      <c r="Z21" s="1491"/>
      <c r="AA21" s="1488">
        <v>1</v>
      </c>
      <c r="AB21" s="1488">
        <v>1</v>
      </c>
      <c r="AC21" s="1488">
        <v>1</v>
      </c>
    </row>
    <row r="22" spans="1:29" ht="15">
      <c r="A22" s="364"/>
      <c r="B22" s="587" t="s">
        <v>2286</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530"/>
      <c r="Q22" s="1487" t="str">
        <f>B22</f>
        <v>楼层</v>
      </c>
      <c r="R22" s="714" t="s">
        <v>17</v>
      </c>
      <c r="S22" s="715">
        <f>F22</f>
        <v>100</v>
      </c>
      <c r="T22" s="714" t="s">
        <v>17</v>
      </c>
      <c r="U22" s="715">
        <f>H22</f>
        <v>100</v>
      </c>
      <c r="V22" s="714" t="s">
        <v>17</v>
      </c>
      <c r="W22" s="715">
        <f>J22</f>
        <v>100</v>
      </c>
      <c r="X22" s="1490"/>
      <c r="Y22" s="353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530"/>
      <c r="Q23" s="1487">
        <f>B23</f>
        <v>111</v>
      </c>
      <c r="R23" s="714" t="s">
        <v>17</v>
      </c>
      <c r="S23" s="715">
        <f>F23</f>
        <v>100</v>
      </c>
      <c r="T23" s="714" t="s">
        <v>17</v>
      </c>
      <c r="U23" s="715">
        <f>H23</f>
        <v>100</v>
      </c>
      <c r="V23" s="714" t="s">
        <v>17</v>
      </c>
      <c r="W23" s="715">
        <f>J23</f>
        <v>100</v>
      </c>
      <c r="X23" s="1490"/>
      <c r="Y23" s="353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530"/>
      <c r="Q24" s="1487">
        <f t="shared" ref="Q24:Q36" si="11">B24</f>
        <v>111</v>
      </c>
      <c r="R24" s="714" t="s">
        <v>17</v>
      </c>
      <c r="S24" s="715">
        <f>F24</f>
        <v>100</v>
      </c>
      <c r="T24" s="714" t="s">
        <v>17</v>
      </c>
      <c r="U24" s="715">
        <f>H24</f>
        <v>100</v>
      </c>
      <c r="V24" s="714" t="s">
        <v>17</v>
      </c>
      <c r="W24" s="715">
        <f>J24</f>
        <v>100</v>
      </c>
      <c r="X24" s="1490"/>
      <c r="Y24" s="353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530"/>
      <c r="Q25" s="1478">
        <f t="shared" si="11"/>
        <v>111</v>
      </c>
      <c r="R25" s="710" t="s">
        <v>17</v>
      </c>
      <c r="S25" s="711">
        <f>F25</f>
        <v>100</v>
      </c>
      <c r="T25" s="710" t="s">
        <v>17</v>
      </c>
      <c r="U25" s="711">
        <f>H25</f>
        <v>100</v>
      </c>
      <c r="V25" s="710" t="s">
        <v>17</v>
      </c>
      <c r="W25" s="711">
        <f>J25</f>
        <v>100</v>
      </c>
      <c r="X25" s="712"/>
      <c r="Y25" s="3530"/>
      <c r="Z25" s="55">
        <f>Q25</f>
        <v>111</v>
      </c>
      <c r="AA25" s="1488">
        <f>D25/F25</f>
        <v>1</v>
      </c>
      <c r="AB25" s="1488">
        <f>D25/H25</f>
        <v>1</v>
      </c>
      <c r="AC25" s="1488">
        <f>D25/J25</f>
        <v>1</v>
      </c>
    </row>
    <row r="26" spans="1:29" ht="28.5">
      <c r="A26" s="608" t="s">
        <v>2138</v>
      </c>
      <c r="B26" s="66" t="s">
        <v>2287</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53" t="s">
        <v>2140</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34" t="s">
        <v>2140</v>
      </c>
      <c r="Z26" s="1491" t="str">
        <f t="shared" ref="Z26:Z36" si="15">Q26</f>
        <v>配套类型</v>
      </c>
      <c r="AA26" s="1488">
        <f t="shared" si="3"/>
        <v>1</v>
      </c>
      <c r="AB26" s="1488">
        <f t="shared" si="4"/>
        <v>1</v>
      </c>
      <c r="AC26" s="1488">
        <f t="shared" si="5"/>
        <v>1</v>
      </c>
    </row>
    <row r="27" spans="1:29" s="430" customFormat="1" ht="15">
      <c r="A27" s="609"/>
      <c r="B27" s="610" t="s">
        <v>2288</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534"/>
      <c r="Q27" s="716" t="str">
        <f t="shared" si="11"/>
        <v>项目停车位配比</v>
      </c>
      <c r="R27" s="717" t="s">
        <v>17</v>
      </c>
      <c r="S27" s="718">
        <f t="shared" si="12"/>
        <v>100</v>
      </c>
      <c r="T27" s="717" t="s">
        <v>17</v>
      </c>
      <c r="U27" s="718">
        <f t="shared" si="13"/>
        <v>100</v>
      </c>
      <c r="V27" s="717" t="s">
        <v>17</v>
      </c>
      <c r="W27" s="718">
        <f t="shared" si="14"/>
        <v>100</v>
      </c>
      <c r="X27" s="719"/>
      <c r="Y27" s="3534"/>
      <c r="Z27" s="720" t="str">
        <f t="shared" si="15"/>
        <v>项目停车位配比</v>
      </c>
      <c r="AA27" s="1488">
        <f t="shared" si="3"/>
        <v>1</v>
      </c>
      <c r="AB27" s="1488">
        <f t="shared" si="4"/>
        <v>1</v>
      </c>
      <c r="AC27" s="1488">
        <f t="shared" si="5"/>
        <v>1</v>
      </c>
    </row>
    <row r="28" spans="1:29" ht="15">
      <c r="A28" s="612"/>
      <c r="B28" s="610" t="s">
        <v>2289</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534"/>
      <c r="Q28" s="1487" t="str">
        <f t="shared" si="11"/>
        <v>公共部分装修</v>
      </c>
      <c r="R28" s="714" t="s">
        <v>17</v>
      </c>
      <c r="S28" s="715">
        <f t="shared" si="12"/>
        <v>100</v>
      </c>
      <c r="T28" s="714" t="s">
        <v>17</v>
      </c>
      <c r="U28" s="715">
        <f t="shared" si="13"/>
        <v>100</v>
      </c>
      <c r="V28" s="714" t="s">
        <v>17</v>
      </c>
      <c r="W28" s="715">
        <f t="shared" si="14"/>
        <v>100</v>
      </c>
      <c r="X28" s="1490"/>
      <c r="Y28" s="3534"/>
      <c r="Z28" s="1491" t="str">
        <f t="shared" si="15"/>
        <v>公共部分装修</v>
      </c>
      <c r="AA28" s="1488">
        <f t="shared" si="3"/>
        <v>1</v>
      </c>
      <c r="AB28" s="1488">
        <f t="shared" si="4"/>
        <v>1</v>
      </c>
      <c r="AC28" s="1488">
        <f t="shared" si="5"/>
        <v>1</v>
      </c>
    </row>
    <row r="29" spans="1:29" ht="15">
      <c r="A29" s="612"/>
      <c r="B29" s="610" t="s">
        <v>2290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534"/>
      <c r="Q29" s="1487" t="str">
        <f t="shared" si="11"/>
        <v>成新率</v>
      </c>
      <c r="R29" s="714" t="s">
        <v>17</v>
      </c>
      <c r="S29" s="715" t="e">
        <f t="shared" si="12"/>
        <v>#N/A</v>
      </c>
      <c r="T29" s="714" t="s">
        <v>17</v>
      </c>
      <c r="U29" s="715" t="e">
        <f t="shared" si="13"/>
        <v>#N/A</v>
      </c>
      <c r="V29" s="714" t="s">
        <v>17</v>
      </c>
      <c r="W29" s="715" t="e">
        <f t="shared" si="14"/>
        <v>#N/A</v>
      </c>
      <c r="X29" s="1490"/>
      <c r="Y29" s="3534"/>
      <c r="Z29" s="1491" t="str">
        <f t="shared" si="15"/>
        <v>成新率</v>
      </c>
      <c r="AA29" s="1488" t="e">
        <f t="shared" si="3"/>
        <v>#N/A</v>
      </c>
      <c r="AB29" s="1488" t="e">
        <f t="shared" si="4"/>
        <v>#N/A</v>
      </c>
      <c r="AC29" s="1488" t="e">
        <f t="shared" si="5"/>
        <v>#N/A</v>
      </c>
    </row>
    <row r="30" spans="1:29" ht="15">
      <c r="A30" s="612"/>
      <c r="B30" s="610" t="s">
        <v>2291</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534"/>
      <c r="Q30" s="1487" t="str">
        <f t="shared" si="11"/>
        <v>物业等级</v>
      </c>
      <c r="R30" s="714" t="s">
        <v>17</v>
      </c>
      <c r="S30" s="715">
        <f t="shared" si="12"/>
        <v>100</v>
      </c>
      <c r="T30" s="714" t="s">
        <v>17</v>
      </c>
      <c r="U30" s="715">
        <f t="shared" si="13"/>
        <v>100</v>
      </c>
      <c r="V30" s="714" t="s">
        <v>17</v>
      </c>
      <c r="W30" s="715">
        <f t="shared" si="14"/>
        <v>100</v>
      </c>
      <c r="X30" s="1490"/>
      <c r="Y30" s="3534"/>
      <c r="Z30" s="1491" t="str">
        <f t="shared" si="15"/>
        <v>物业等级</v>
      </c>
      <c r="AA30" s="1488">
        <f t="shared" si="3"/>
        <v>1</v>
      </c>
      <c r="AB30" s="1488">
        <f t="shared" si="4"/>
        <v>1</v>
      </c>
      <c r="AC30" s="1488">
        <f t="shared" si="5"/>
        <v>1</v>
      </c>
    </row>
    <row r="31" spans="1:29" s="113" customFormat="1" ht="15">
      <c r="A31" s="614"/>
      <c r="B31" s="610" t="s">
        <v>2292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534"/>
      <c r="Q31" s="1478" t="str">
        <f t="shared" si="11"/>
        <v>停车位面积</v>
      </c>
      <c r="R31" s="710" t="s">
        <v>17</v>
      </c>
      <c r="S31" s="711" t="e">
        <f t="shared" si="12"/>
        <v>#N/A</v>
      </c>
      <c r="T31" s="710" t="s">
        <v>17</v>
      </c>
      <c r="U31" s="711" t="e">
        <f t="shared" si="13"/>
        <v>#N/A</v>
      </c>
      <c r="V31" s="710" t="s">
        <v>17</v>
      </c>
      <c r="W31" s="711" t="e">
        <f t="shared" si="14"/>
        <v>#N/A</v>
      </c>
      <c r="X31" s="712"/>
      <c r="Y31" s="3534"/>
      <c r="Z31" s="55" t="str">
        <f t="shared" si="15"/>
        <v>停车位面积</v>
      </c>
      <c r="AA31" s="713" t="e">
        <f t="shared" si="3"/>
        <v>#N/A</v>
      </c>
      <c r="AB31" s="713" t="e">
        <f t="shared" si="4"/>
        <v>#N/A</v>
      </c>
      <c r="AC31" s="713" t="e">
        <f t="shared" si="5"/>
        <v>#N/A</v>
      </c>
    </row>
    <row r="32" spans="1:29" ht="15">
      <c r="A32" s="612"/>
      <c r="B32" s="610" t="s">
        <v>2293</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534" t="s">
        <v>2140</v>
      </c>
      <c r="Q32" s="1487" t="str">
        <f t="shared" si="11"/>
        <v>车位类型</v>
      </c>
      <c r="R32" s="714" t="s">
        <v>17</v>
      </c>
      <c r="S32" s="715">
        <f t="shared" si="12"/>
        <v>100</v>
      </c>
      <c r="T32" s="714" t="s">
        <v>17</v>
      </c>
      <c r="U32" s="715">
        <f t="shared" si="13"/>
        <v>100</v>
      </c>
      <c r="V32" s="714" t="s">
        <v>17</v>
      </c>
      <c r="W32" s="715">
        <f t="shared" si="14"/>
        <v>100</v>
      </c>
      <c r="X32" s="1490"/>
      <c r="Y32" s="3534" t="s">
        <v>2140</v>
      </c>
      <c r="Z32" s="1491" t="str">
        <f t="shared" si="15"/>
        <v>车位类型</v>
      </c>
      <c r="AA32" s="1488">
        <f t="shared" si="3"/>
        <v>1</v>
      </c>
      <c r="AB32" s="1488">
        <f t="shared" si="4"/>
        <v>1</v>
      </c>
      <c r="AC32" s="1488">
        <f t="shared" si="5"/>
        <v>1</v>
      </c>
    </row>
    <row r="33" spans="1:29" ht="15">
      <c r="A33" s="612"/>
      <c r="B33" s="610" t="s">
        <v>2294</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534"/>
      <c r="Q33" s="1487" t="str">
        <f t="shared" si="11"/>
        <v>是否直接入户</v>
      </c>
      <c r="R33" s="714" t="s">
        <v>17</v>
      </c>
      <c r="S33" s="715">
        <f t="shared" si="12"/>
        <v>100</v>
      </c>
      <c r="T33" s="714" t="s">
        <v>17</v>
      </c>
      <c r="U33" s="715">
        <f t="shared" si="13"/>
        <v>100</v>
      </c>
      <c r="V33" s="714" t="s">
        <v>17</v>
      </c>
      <c r="W33" s="715">
        <f t="shared" si="14"/>
        <v>100</v>
      </c>
      <c r="X33" s="1490"/>
      <c r="Y33" s="353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534"/>
      <c r="Q34" s="1487">
        <f t="shared" si="11"/>
        <v>111</v>
      </c>
      <c r="R34" s="714" t="s">
        <v>17</v>
      </c>
      <c r="S34" s="715">
        <f t="shared" si="12"/>
        <v>100</v>
      </c>
      <c r="T34" s="714" t="s">
        <v>17</v>
      </c>
      <c r="U34" s="715">
        <f t="shared" si="13"/>
        <v>100</v>
      </c>
      <c r="V34" s="714" t="s">
        <v>17</v>
      </c>
      <c r="W34" s="715">
        <f t="shared" si="14"/>
        <v>100</v>
      </c>
      <c r="X34" s="1490"/>
      <c r="Y34" s="353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534"/>
      <c r="Q35" s="716">
        <f t="shared" si="11"/>
        <v>111</v>
      </c>
      <c r="R35" s="717" t="s">
        <v>17</v>
      </c>
      <c r="S35" s="718">
        <f t="shared" si="12"/>
        <v>100</v>
      </c>
      <c r="T35" s="717" t="s">
        <v>17</v>
      </c>
      <c r="U35" s="718">
        <f t="shared" si="13"/>
        <v>100</v>
      </c>
      <c r="V35" s="717" t="s">
        <v>17</v>
      </c>
      <c r="W35" s="718">
        <f t="shared" si="14"/>
        <v>100</v>
      </c>
      <c r="X35" s="719"/>
      <c r="Y35" s="353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534"/>
      <c r="Q36" s="1487">
        <f t="shared" si="11"/>
        <v>111</v>
      </c>
      <c r="R36" s="714" t="s">
        <v>17</v>
      </c>
      <c r="S36" s="715">
        <f t="shared" si="12"/>
        <v>100</v>
      </c>
      <c r="T36" s="714" t="s">
        <v>17</v>
      </c>
      <c r="U36" s="715">
        <f t="shared" si="13"/>
        <v>100</v>
      </c>
      <c r="V36" s="714" t="s">
        <v>17</v>
      </c>
      <c r="W36" s="715">
        <f t="shared" si="14"/>
        <v>100</v>
      </c>
      <c r="X36" s="1490"/>
      <c r="Y36" s="3534"/>
      <c r="Z36" s="1491">
        <f t="shared" si="15"/>
        <v>111</v>
      </c>
      <c r="AA36" s="1488">
        <f t="shared" si="3"/>
        <v>1</v>
      </c>
      <c r="AB36" s="1488">
        <f t="shared" si="4"/>
        <v>1</v>
      </c>
      <c r="AC36" s="1488">
        <f t="shared" si="5"/>
        <v>1</v>
      </c>
    </row>
    <row r="37" spans="1:29" ht="15">
      <c r="A37" s="438" t="s">
        <v>2295</v>
      </c>
      <c r="B37" s="2109" t="s">
        <v>2296</v>
      </c>
      <c r="C37" s="1269" t="s">
        <v>1</v>
      </c>
      <c r="D37" s="1270"/>
      <c r="E37" s="1271"/>
      <c r="F37" s="1272"/>
      <c r="G37" s="1273"/>
      <c r="H37" s="1274"/>
      <c r="I37" s="1271"/>
      <c r="J37" s="1274"/>
      <c r="K37" s="576"/>
      <c r="L37" s="2900"/>
      <c r="M37" s="2901"/>
      <c r="N37" s="2892"/>
      <c r="O37" s="2901"/>
      <c r="P37" s="3527" t="str">
        <f>A37</f>
        <v>成交单价</v>
      </c>
      <c r="Q37" s="3527"/>
      <c r="R37" s="3528">
        <f>E37</f>
        <v>0</v>
      </c>
      <c r="S37" s="3528"/>
      <c r="T37" s="3528">
        <f>G37</f>
        <v>0</v>
      </c>
      <c r="U37" s="3528"/>
      <c r="V37" s="3528">
        <f>I37</f>
        <v>0</v>
      </c>
      <c r="W37" s="3528"/>
      <c r="X37" s="699"/>
      <c r="Y37" s="721"/>
      <c r="Z37" s="699"/>
      <c r="AA37" s="699"/>
      <c r="AB37" s="699"/>
      <c r="AC37" s="699"/>
    </row>
    <row r="38" spans="1:29" ht="15.75" thickBot="1">
      <c r="A38" s="445" t="s">
        <v>2297</v>
      </c>
      <c r="B38" s="446" t="str">
        <f>B37</f>
        <v>元/车位</v>
      </c>
      <c r="C38" s="1275" t="e">
        <f>R39</f>
        <v>#DIV/0!</v>
      </c>
      <c r="D38" s="2488" t="s">
        <v>2634</v>
      </c>
      <c r="E38" s="1276" t="e">
        <f>R38</f>
        <v>#DIV/0!</v>
      </c>
      <c r="F38" s="2489"/>
      <c r="G38" s="1275" t="e">
        <f>T38</f>
        <v>#DIV/0!</v>
      </c>
      <c r="H38" s="2489"/>
      <c r="I38" s="1276" t="e">
        <f>V38</f>
        <v>#DIV/0!</v>
      </c>
      <c r="J38" s="2489"/>
      <c r="K38" s="2491">
        <f>F38+H38+J38</f>
        <v>0</v>
      </c>
      <c r="L38" s="2900"/>
      <c r="M38" s="2901"/>
      <c r="N38" s="2901"/>
      <c r="O38" s="2901"/>
      <c r="P38" s="3527" t="str">
        <f>A38</f>
        <v>比较价值（元/平方米）</v>
      </c>
      <c r="Q38" s="3527"/>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699"/>
      <c r="Y38" s="699"/>
      <c r="Z38" s="699"/>
      <c r="AA38" s="699"/>
      <c r="AB38" s="699"/>
      <c r="AC38" s="699"/>
    </row>
    <row r="39" spans="1:29" ht="15.75" thickBot="1">
      <c r="A39" s="449" t="s">
        <v>2298</v>
      </c>
      <c r="B39" s="450"/>
      <c r="C39" s="1278" t="e">
        <f>R39</f>
        <v>#DIV/0!</v>
      </c>
      <c r="D39" s="1278"/>
      <c r="E39" s="1278"/>
      <c r="F39" s="1278"/>
      <c r="G39" s="1278"/>
      <c r="H39" s="1278"/>
      <c r="I39" s="1278"/>
      <c r="J39" s="1278"/>
      <c r="K39" s="577"/>
      <c r="L39" s="2900"/>
      <c r="M39" s="2901"/>
      <c r="N39" s="2901"/>
      <c r="O39" s="2901"/>
      <c r="P39" s="3524" t="str">
        <f>A39</f>
        <v>估价对象XX用房的比较价值（楼面单价，元/平方米）</v>
      </c>
      <c r="Q39" s="3525"/>
      <c r="R39" s="3554" t="e">
        <f>IF(F1="售价",ROUND(IF(D38="简单平均",AVERAGE(R38:W38),R38*F38+T38*H38+V38*J38),0),ROUND(IF(D38="简单平均",AVERAGE(R38:V38),R38*F38+T38*H38+V38*J38),1))</f>
        <v>#DIV/0!</v>
      </c>
      <c r="S39" s="3554"/>
      <c r="T39" s="3554"/>
      <c r="U39" s="3554"/>
      <c r="V39" s="3554"/>
      <c r="W39" s="3554"/>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2299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2302</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2303</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2160</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2125</v>
      </c>
      <c r="B51" s="467"/>
      <c r="C51" s="479" t="s">
        <v>2227</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2163</v>
      </c>
      <c r="B53" s="485" t="s">
        <v>2129</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2132</v>
      </c>
      <c r="C55" s="496" t="s">
        <v>2164</v>
      </c>
      <c r="D55" s="496" t="s">
        <v>2165</v>
      </c>
      <c r="E55" s="496" t="s">
        <v>2166</v>
      </c>
      <c r="F55" s="496" t="s">
        <v>2167</v>
      </c>
      <c r="G55" s="496" t="s">
        <v>2168</v>
      </c>
      <c r="H55" s="496" t="s">
        <v>2169</v>
      </c>
      <c r="I55" s="496" t="s">
        <v>2170</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2134</v>
      </c>
      <c r="B63" s="485" t="s">
        <v>2177</v>
      </c>
      <c r="C63" s="530" t="s">
        <v>2172</v>
      </c>
      <c r="D63" s="530" t="s">
        <v>2173</v>
      </c>
      <c r="E63" s="530" t="s">
        <v>2174</v>
      </c>
      <c r="F63" s="530" t="s">
        <v>2175</v>
      </c>
      <c r="G63" s="530" t="s">
        <v>2176</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2178</v>
      </c>
      <c r="C65" s="535" t="s">
        <v>2172</v>
      </c>
      <c r="D65" s="535" t="s">
        <v>2173</v>
      </c>
      <c r="E65" s="535" t="s">
        <v>2174</v>
      </c>
      <c r="F65" s="535" t="s">
        <v>2175</v>
      </c>
      <c r="G65" s="535" t="s">
        <v>2176</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2264</v>
      </c>
      <c r="C67" s="616" t="s">
        <v>2250</v>
      </c>
      <c r="D67" s="616" t="s">
        <v>2251</v>
      </c>
      <c r="E67" s="616" t="s">
        <v>2252</v>
      </c>
      <c r="F67" s="616" t="s">
        <v>2253</v>
      </c>
      <c r="G67" s="616" t="s">
        <v>2254</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2184</v>
      </c>
      <c r="C69" s="535" t="s">
        <v>2172</v>
      </c>
      <c r="D69" s="535" t="s">
        <v>2173</v>
      </c>
      <c r="E69" s="535" t="s">
        <v>2174</v>
      </c>
      <c r="F69" s="535" t="s">
        <v>2175</v>
      </c>
      <c r="G69" s="535" t="s">
        <v>2176</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2304</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2138</v>
      </c>
      <c r="B79" s="485" t="s">
        <v>2305</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2306</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2191</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2307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2308</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2309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2310</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2311</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2282</v>
      </c>
      <c r="B1" s="1344"/>
      <c r="C1" s="1345" t="s">
        <v>2105</v>
      </c>
      <c r="D1" s="1346"/>
      <c r="E1" s="1355"/>
      <c r="F1" s="2015"/>
      <c r="G1" s="1356" t="s">
        <v>2218</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1903</v>
      </c>
      <c r="B2" s="1279" t="e">
        <f ca="1">IF(C2="——",ROUND(C37*D3/10000,0),ROUND(C37*D3/10000,0)-D2)</f>
        <v>#DIV/0!</v>
      </c>
      <c r="C2" s="2017"/>
      <c r="D2" s="1019" t="e">
        <f ca="1">SUMIF(INDIRECT("'"&amp;F2&amp;"'"&amp;"!A:A"),"承租人权益价值",INDIRECT("'"&amp;F2&amp;"'"&amp;"!c:c"))</f>
        <v>#REF!</v>
      </c>
      <c r="E2" s="2018" t="s">
        <v>1904</v>
      </c>
      <c r="F2" s="2019"/>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1905</v>
      </c>
      <c r="B3" s="566" t="e">
        <f ca="1">IF(C2="——",C37,ROUND(B2*10000/D3,0))</f>
        <v>#DIV/0!</v>
      </c>
      <c r="C3" s="360" t="s">
        <v>2219</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10" t="s">
        <v>2221</v>
      </c>
      <c r="D4" s="3511"/>
      <c r="E4" s="3512" t="s">
        <v>2222</v>
      </c>
      <c r="F4" s="3513"/>
      <c r="G4" s="3510" t="s">
        <v>2223</v>
      </c>
      <c r="H4" s="3511"/>
      <c r="I4" s="3510" t="s">
        <v>2224</v>
      </c>
      <c r="J4" s="3511"/>
      <c r="K4" s="567" t="s">
        <v>2225</v>
      </c>
      <c r="L4" s="2891"/>
      <c r="M4" s="2892"/>
      <c r="N4" s="2892"/>
      <c r="O4" s="2892"/>
      <c r="P4" s="3514" t="s">
        <v>2226</v>
      </c>
      <c r="Q4" s="3515"/>
      <c r="R4" s="3497" t="s">
        <v>2222</v>
      </c>
      <c r="S4" s="3498"/>
      <c r="T4" s="3497" t="s">
        <v>2223</v>
      </c>
      <c r="U4" s="3498"/>
      <c r="V4" s="3522" t="s">
        <v>2224</v>
      </c>
      <c r="W4" s="3522"/>
      <c r="X4" s="1490"/>
      <c r="Y4" s="3497" t="s">
        <v>2226</v>
      </c>
      <c r="Z4" s="3498"/>
      <c r="AA4" s="3492" t="s">
        <v>2222</v>
      </c>
      <c r="AB4" s="3493" t="s">
        <v>2223</v>
      </c>
      <c r="AC4" s="3492" t="s">
        <v>2224</v>
      </c>
    </row>
    <row r="5" spans="1:29" ht="15">
      <c r="A5" s="364"/>
      <c r="B5" s="365"/>
      <c r="C5" s="3503" t="s">
        <v>2117</v>
      </c>
      <c r="D5" s="3504"/>
      <c r="E5" s="3501" t="s">
        <v>2118</v>
      </c>
      <c r="F5" s="3502"/>
      <c r="G5" s="3503" t="s">
        <v>2119</v>
      </c>
      <c r="H5" s="3504"/>
      <c r="I5" s="3503" t="s">
        <v>2120</v>
      </c>
      <c r="J5" s="3504"/>
      <c r="K5" s="567"/>
      <c r="L5" s="2891"/>
      <c r="M5" s="2892"/>
      <c r="N5" s="2892"/>
      <c r="O5" s="2892"/>
      <c r="P5" s="3516"/>
      <c r="Q5" s="3517"/>
      <c r="R5" s="3499"/>
      <c r="S5" s="3500"/>
      <c r="T5" s="3499"/>
      <c r="U5" s="3500"/>
      <c r="V5" s="3522"/>
      <c r="W5" s="3522"/>
      <c r="X5" s="1490"/>
      <c r="Y5" s="3499"/>
      <c r="Z5" s="3500"/>
      <c r="AA5" s="3493"/>
      <c r="AB5" s="3493"/>
      <c r="AC5" s="3493"/>
    </row>
    <row r="6" spans="1:29" ht="15.75" thickBot="1">
      <c r="A6" s="366"/>
      <c r="B6" s="367"/>
      <c r="C6" s="3505" t="s">
        <v>2121</v>
      </c>
      <c r="D6" s="3506"/>
      <c r="E6" s="3507" t="s">
        <v>2121</v>
      </c>
      <c r="F6" s="3508"/>
      <c r="G6" s="3505" t="s">
        <v>2121</v>
      </c>
      <c r="H6" s="3506"/>
      <c r="I6" s="3505" t="s">
        <v>2121</v>
      </c>
      <c r="J6" s="3506"/>
      <c r="K6" s="567" t="s">
        <v>2122</v>
      </c>
      <c r="L6" s="2891"/>
      <c r="M6" s="2892"/>
      <c r="N6" s="2892"/>
      <c r="O6" s="2892"/>
      <c r="P6" s="3518"/>
      <c r="Q6" s="3519"/>
      <c r="R6" s="3499"/>
      <c r="S6" s="3500"/>
      <c r="T6" s="3520"/>
      <c r="U6" s="3521"/>
      <c r="V6" s="3522"/>
      <c r="W6" s="3522"/>
      <c r="X6" s="1490"/>
      <c r="Y6" s="3520"/>
      <c r="Z6" s="3521"/>
      <c r="AA6" s="3494"/>
      <c r="AB6" s="3494"/>
      <c r="AC6" s="3494"/>
    </row>
    <row r="7" spans="1:29" s="113" customFormat="1" ht="15.75" thickBot="1">
      <c r="A7" s="368" t="s">
        <v>2123</v>
      </c>
      <c r="B7" s="369"/>
      <c r="C7" s="370">
        <f>'数据-取费表'!B2</f>
        <v>44742</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495" t="s">
        <v>2124</v>
      </c>
      <c r="Q7" s="3523"/>
      <c r="R7" s="710" t="s">
        <v>17</v>
      </c>
      <c r="S7" s="711">
        <f t="shared" ref="S7:S14" si="0">F7</f>
        <v>0</v>
      </c>
      <c r="T7" s="710" t="s">
        <v>17</v>
      </c>
      <c r="U7" s="711">
        <f t="shared" ref="U7:U14" si="1">H7</f>
        <v>0</v>
      </c>
      <c r="V7" s="710" t="s">
        <v>17</v>
      </c>
      <c r="W7" s="711">
        <f t="shared" ref="W7:W14" si="2">J7</f>
        <v>0</v>
      </c>
      <c r="X7" s="712"/>
      <c r="Y7" s="3495" t="s">
        <v>2124</v>
      </c>
      <c r="Z7" s="3496"/>
      <c r="AA7" s="713" t="e">
        <f>D7/F7</f>
        <v>#DIV/0!</v>
      </c>
      <c r="AB7" s="713" t="e">
        <f>D7/H7</f>
        <v>#DIV/0!</v>
      </c>
      <c r="AC7" s="713" t="e">
        <f>D7/J7</f>
        <v>#DIV/0!</v>
      </c>
    </row>
    <row r="8" spans="1:29" s="113" customFormat="1" ht="15.75" thickBot="1">
      <c r="A8" s="368" t="s">
        <v>2125</v>
      </c>
      <c r="B8" s="369"/>
      <c r="C8" s="374" t="s">
        <v>2227</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495" t="s">
        <v>2127</v>
      </c>
      <c r="Q8" s="3496"/>
      <c r="R8" s="710" t="s">
        <v>17</v>
      </c>
      <c r="S8" s="711">
        <f t="shared" si="0"/>
        <v>0</v>
      </c>
      <c r="T8" s="710" t="s">
        <v>17</v>
      </c>
      <c r="U8" s="711">
        <f t="shared" si="1"/>
        <v>0</v>
      </c>
      <c r="V8" s="710" t="s">
        <v>17</v>
      </c>
      <c r="W8" s="711">
        <f t="shared" si="2"/>
        <v>0</v>
      </c>
      <c r="X8" s="712"/>
      <c r="Y8" s="3495" t="s">
        <v>2127</v>
      </c>
      <c r="Z8" s="3496"/>
      <c r="AA8" s="713" t="e">
        <f t="shared" ref="AA8:AA34" si="3">D8/F8</f>
        <v>#DIV/0!</v>
      </c>
      <c r="AB8" s="713" t="e">
        <f t="shared" ref="AB8:AB34" si="4">D8/H8</f>
        <v>#DIV/0!</v>
      </c>
      <c r="AC8" s="713" t="e">
        <f t="shared" ref="AC8:AC34" si="5">D8/J8</f>
        <v>#DIV/0!</v>
      </c>
    </row>
    <row r="9" spans="1:29" s="113" customFormat="1">
      <c r="A9" s="375" t="s">
        <v>2128</v>
      </c>
      <c r="B9" s="67" t="s">
        <v>2129</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527" t="s">
        <v>2130</v>
      </c>
      <c r="Q9" s="1478" t="str">
        <f t="shared" ref="Q9:Q14" si="6">B9</f>
        <v>用途</v>
      </c>
      <c r="R9" s="710" t="s">
        <v>17</v>
      </c>
      <c r="S9" s="711">
        <f t="shared" si="0"/>
        <v>100</v>
      </c>
      <c r="T9" s="710" t="s">
        <v>17</v>
      </c>
      <c r="U9" s="711">
        <f t="shared" si="1"/>
        <v>100</v>
      </c>
      <c r="V9" s="710" t="s">
        <v>17</v>
      </c>
      <c r="W9" s="711">
        <f t="shared" si="2"/>
        <v>100</v>
      </c>
      <c r="X9" s="712"/>
      <c r="Y9" s="3439" t="s">
        <v>2131</v>
      </c>
      <c r="Z9" s="55" t="str">
        <f t="shared" ref="Z9:Z14" si="7">Q9</f>
        <v>用途</v>
      </c>
      <c r="AA9" s="713">
        <f t="shared" si="3"/>
        <v>1</v>
      </c>
      <c r="AB9" s="713">
        <f t="shared" si="4"/>
        <v>1</v>
      </c>
      <c r="AC9" s="713">
        <f t="shared" si="5"/>
        <v>1</v>
      </c>
    </row>
    <row r="10" spans="1:29" s="386" customFormat="1" ht="27">
      <c r="A10" s="380"/>
      <c r="B10" s="381" t="s">
        <v>2132</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527"/>
      <c r="Q10" s="1478" t="str">
        <f t="shared" si="6"/>
        <v>土地使用年限（年）</v>
      </c>
      <c r="R10" s="710" t="s">
        <v>17</v>
      </c>
      <c r="S10" s="711">
        <f t="shared" si="0"/>
        <v>100</v>
      </c>
      <c r="T10" s="710" t="s">
        <v>17</v>
      </c>
      <c r="U10" s="711">
        <f t="shared" si="1"/>
        <v>100</v>
      </c>
      <c r="V10" s="710" t="s">
        <v>17</v>
      </c>
      <c r="W10" s="711">
        <f t="shared" si="2"/>
        <v>100</v>
      </c>
      <c r="X10" s="712"/>
      <c r="Y10" s="3439"/>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527"/>
      <c r="Q11" s="1478">
        <f t="shared" si="6"/>
        <v>111</v>
      </c>
      <c r="R11" s="710" t="s">
        <v>17</v>
      </c>
      <c r="S11" s="711">
        <f t="shared" si="0"/>
        <v>100</v>
      </c>
      <c r="T11" s="710" t="s">
        <v>17</v>
      </c>
      <c r="U11" s="711">
        <f t="shared" si="1"/>
        <v>100</v>
      </c>
      <c r="V11" s="710" t="s">
        <v>17</v>
      </c>
      <c r="W11" s="711">
        <f t="shared" si="2"/>
        <v>100</v>
      </c>
      <c r="X11" s="712"/>
      <c r="Y11" s="3439"/>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527"/>
      <c r="Q12" s="1478">
        <f t="shared" si="6"/>
        <v>111</v>
      </c>
      <c r="R12" s="710" t="s">
        <v>17</v>
      </c>
      <c r="S12" s="711">
        <f t="shared" si="0"/>
        <v>100</v>
      </c>
      <c r="T12" s="710" t="s">
        <v>17</v>
      </c>
      <c r="U12" s="711">
        <f t="shared" si="1"/>
        <v>100</v>
      </c>
      <c r="V12" s="710" t="s">
        <v>17</v>
      </c>
      <c r="W12" s="711">
        <f t="shared" si="2"/>
        <v>100</v>
      </c>
      <c r="X12" s="712"/>
      <c r="Y12" s="3439"/>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527"/>
      <c r="Q13" s="1478">
        <f t="shared" si="6"/>
        <v>111</v>
      </c>
      <c r="R13" s="710" t="s">
        <v>17</v>
      </c>
      <c r="S13" s="711">
        <f t="shared" si="0"/>
        <v>100</v>
      </c>
      <c r="T13" s="710" t="s">
        <v>17</v>
      </c>
      <c r="U13" s="711">
        <f t="shared" si="1"/>
        <v>100</v>
      </c>
      <c r="V13" s="710" t="s">
        <v>17</v>
      </c>
      <c r="W13" s="711">
        <f t="shared" si="2"/>
        <v>100</v>
      </c>
      <c r="X13" s="712"/>
      <c r="Y13" s="3439"/>
      <c r="Z13" s="55">
        <f t="shared" si="7"/>
        <v>111</v>
      </c>
      <c r="AA13" s="713">
        <f t="shared" si="3"/>
        <v>1</v>
      </c>
      <c r="AB13" s="713">
        <f t="shared" si="4"/>
        <v>1</v>
      </c>
      <c r="AC13" s="713">
        <f t="shared" si="5"/>
        <v>1</v>
      </c>
    </row>
    <row r="14" spans="1:29" ht="15">
      <c r="A14" s="399" t="s">
        <v>2134</v>
      </c>
      <c r="B14" s="65" t="s">
        <v>2284</v>
      </c>
      <c r="C14" s="2107"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529" t="s">
        <v>2135</v>
      </c>
      <c r="Q14" s="1487" t="str">
        <f t="shared" si="6"/>
        <v>交通便捷度</v>
      </c>
      <c r="R14" s="714" t="s">
        <v>17</v>
      </c>
      <c r="S14" s="715">
        <f t="shared" si="0"/>
        <v>100</v>
      </c>
      <c r="T14" s="714" t="s">
        <v>17</v>
      </c>
      <c r="U14" s="715">
        <f t="shared" si="1"/>
        <v>100</v>
      </c>
      <c r="V14" s="714" t="s">
        <v>17</v>
      </c>
      <c r="W14" s="715">
        <f t="shared" si="2"/>
        <v>100</v>
      </c>
      <c r="X14" s="1490"/>
      <c r="Y14" s="3529" t="s">
        <v>2135</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530"/>
      <c r="Q15" s="1487"/>
      <c r="R15" s="714"/>
      <c r="S15" s="715"/>
      <c r="T15" s="714"/>
      <c r="U15" s="715"/>
      <c r="V15" s="714"/>
      <c r="W15" s="715"/>
      <c r="X15" s="1490"/>
      <c r="Y15" s="3530"/>
      <c r="Z15" s="1491"/>
      <c r="AA15" s="1488">
        <v>1</v>
      </c>
      <c r="AB15" s="1488">
        <v>1</v>
      </c>
      <c r="AC15" s="1488">
        <v>1</v>
      </c>
    </row>
    <row r="16" spans="1:29" ht="15">
      <c r="A16" s="387"/>
      <c r="B16" s="410" t="s">
        <v>2263</v>
      </c>
      <c r="C16" s="2036"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530"/>
      <c r="Q16" s="1487" t="str">
        <f>B16</f>
        <v>公共配套设施</v>
      </c>
      <c r="R16" s="714" t="s">
        <v>17</v>
      </c>
      <c r="S16" s="715">
        <f>F16</f>
        <v>100</v>
      </c>
      <c r="T16" s="714" t="s">
        <v>17</v>
      </c>
      <c r="U16" s="715">
        <f>H16</f>
        <v>100</v>
      </c>
      <c r="V16" s="714" t="s">
        <v>17</v>
      </c>
      <c r="W16" s="715">
        <f>J16</f>
        <v>100</v>
      </c>
      <c r="X16" s="1490"/>
      <c r="Y16" s="3530"/>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8"/>
      <c r="M17" s="2892"/>
      <c r="N17" s="2892"/>
      <c r="O17" s="2950"/>
      <c r="P17" s="3530"/>
      <c r="Q17" s="1487"/>
      <c r="R17" s="714"/>
      <c r="S17" s="715"/>
      <c r="T17" s="714"/>
      <c r="U17" s="715"/>
      <c r="V17" s="714"/>
      <c r="W17" s="715"/>
      <c r="X17" s="1490"/>
      <c r="Y17" s="3530"/>
      <c r="Z17" s="1491"/>
      <c r="AA17" s="1488">
        <v>1</v>
      </c>
      <c r="AB17" s="1488">
        <v>1</v>
      </c>
      <c r="AC17" s="1488">
        <v>1</v>
      </c>
    </row>
    <row r="18" spans="1:29" ht="15">
      <c r="A18" s="387"/>
      <c r="B18" s="1246" t="s">
        <v>2264</v>
      </c>
      <c r="C18" s="203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530"/>
      <c r="Q18" s="1487" t="str">
        <f>B18</f>
        <v>基础设施水平</v>
      </c>
      <c r="R18" s="714" t="s">
        <v>17</v>
      </c>
      <c r="S18" s="715">
        <f>F18</f>
        <v>100</v>
      </c>
      <c r="T18" s="714" t="s">
        <v>17</v>
      </c>
      <c r="U18" s="715">
        <f>H18</f>
        <v>100</v>
      </c>
      <c r="V18" s="714" t="s">
        <v>17</v>
      </c>
      <c r="W18" s="715">
        <f>J18</f>
        <v>100</v>
      </c>
      <c r="X18" s="1490"/>
      <c r="Y18" s="3530"/>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8"/>
      <c r="M19" s="2892"/>
      <c r="N19" s="2892"/>
      <c r="O19" s="2950"/>
      <c r="P19" s="3530"/>
      <c r="Q19" s="1487"/>
      <c r="R19" s="714"/>
      <c r="S19" s="715"/>
      <c r="T19" s="714"/>
      <c r="U19" s="715"/>
      <c r="V19" s="714"/>
      <c r="W19" s="715"/>
      <c r="X19" s="1490"/>
      <c r="Y19" s="3530"/>
      <c r="Z19" s="1491"/>
      <c r="AA19" s="1488">
        <v>1</v>
      </c>
      <c r="AB19" s="1488">
        <v>1</v>
      </c>
      <c r="AC19" s="1488">
        <v>1</v>
      </c>
    </row>
    <row r="20" spans="1:29" ht="15">
      <c r="A20" s="387"/>
      <c r="B20" s="410" t="s">
        <v>2285</v>
      </c>
      <c r="C20" s="2036"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530"/>
      <c r="Q20" s="1487" t="str">
        <f>B20</f>
        <v>自然及人文环境</v>
      </c>
      <c r="R20" s="714" t="s">
        <v>17</v>
      </c>
      <c r="S20" s="715">
        <f>F20</f>
        <v>100</v>
      </c>
      <c r="T20" s="714" t="s">
        <v>17</v>
      </c>
      <c r="U20" s="715">
        <f>H20</f>
        <v>100</v>
      </c>
      <c r="V20" s="714" t="s">
        <v>17</v>
      </c>
      <c r="W20" s="715">
        <f>J20</f>
        <v>100</v>
      </c>
      <c r="X20" s="1490"/>
      <c r="Y20" s="353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530"/>
      <c r="Q21" s="1487"/>
      <c r="R21" s="714"/>
      <c r="S21" s="715"/>
      <c r="T21" s="714"/>
      <c r="U21" s="715"/>
      <c r="V21" s="714"/>
      <c r="W21" s="715"/>
      <c r="X21" s="1490"/>
      <c r="Y21" s="3530"/>
      <c r="Z21" s="1491"/>
      <c r="AA21" s="1488">
        <v>1</v>
      </c>
      <c r="AB21" s="1488">
        <v>1</v>
      </c>
      <c r="AC21" s="1488">
        <v>1</v>
      </c>
    </row>
    <row r="22" spans="1:29" ht="15">
      <c r="A22" s="387"/>
      <c r="B22" s="410" t="s">
        <v>2286</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530"/>
      <c r="Q22" s="1487" t="str">
        <f>B22</f>
        <v>楼层</v>
      </c>
      <c r="R22" s="714" t="s">
        <v>17</v>
      </c>
      <c r="S22" s="715">
        <f>F22</f>
        <v>100</v>
      </c>
      <c r="T22" s="714" t="s">
        <v>17</v>
      </c>
      <c r="U22" s="715">
        <f>H22</f>
        <v>100</v>
      </c>
      <c r="V22" s="714" t="s">
        <v>17</v>
      </c>
      <c r="W22" s="715">
        <f>J22</f>
        <v>100</v>
      </c>
      <c r="X22" s="1490"/>
      <c r="Y22" s="3530"/>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530"/>
      <c r="Q23" s="1487">
        <f>B23</f>
        <v>111</v>
      </c>
      <c r="R23" s="714" t="s">
        <v>17</v>
      </c>
      <c r="S23" s="715">
        <f>F23</f>
        <v>100</v>
      </c>
      <c r="T23" s="714" t="s">
        <v>17</v>
      </c>
      <c r="U23" s="715">
        <f>H23</f>
        <v>100</v>
      </c>
      <c r="V23" s="714" t="s">
        <v>17</v>
      </c>
      <c r="W23" s="715">
        <f>J23</f>
        <v>100</v>
      </c>
      <c r="X23" s="1490"/>
      <c r="Y23" s="3530"/>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530"/>
      <c r="Q24" s="1487">
        <f t="shared" ref="Q24:Q34" si="11">B24</f>
        <v>111</v>
      </c>
      <c r="R24" s="714" t="s">
        <v>17</v>
      </c>
      <c r="S24" s="715">
        <f>F24</f>
        <v>100</v>
      </c>
      <c r="T24" s="714" t="s">
        <v>17</v>
      </c>
      <c r="U24" s="715">
        <f>H24</f>
        <v>100</v>
      </c>
      <c r="V24" s="714" t="s">
        <v>17</v>
      </c>
      <c r="W24" s="715">
        <f>J24</f>
        <v>100</v>
      </c>
      <c r="X24" s="1490"/>
      <c r="Y24" s="3530"/>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530"/>
      <c r="Q25" s="1478">
        <f t="shared" si="11"/>
        <v>111</v>
      </c>
      <c r="R25" s="710" t="s">
        <v>17</v>
      </c>
      <c r="S25" s="711">
        <f>F25</f>
        <v>100</v>
      </c>
      <c r="T25" s="710" t="s">
        <v>17</v>
      </c>
      <c r="U25" s="711">
        <f>H25</f>
        <v>100</v>
      </c>
      <c r="V25" s="710" t="s">
        <v>17</v>
      </c>
      <c r="W25" s="711">
        <f>J25</f>
        <v>100</v>
      </c>
      <c r="X25" s="712"/>
      <c r="Y25" s="3530"/>
      <c r="Z25" s="55">
        <f>Q25</f>
        <v>111</v>
      </c>
      <c r="AA25" s="1488">
        <f>D25/F25</f>
        <v>1</v>
      </c>
      <c r="AB25" s="1488">
        <f>D25/H25</f>
        <v>1</v>
      </c>
      <c r="AC25" s="1488">
        <f>D25/J25</f>
        <v>1</v>
      </c>
    </row>
    <row r="26" spans="1:29" ht="28.5">
      <c r="A26" s="425" t="s">
        <v>2138</v>
      </c>
      <c r="B26" s="67" t="s">
        <v>2289</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553" t="s">
        <v>2140</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34" t="s">
        <v>2140</v>
      </c>
      <c r="Z26" s="1491" t="str">
        <f t="shared" ref="Z26:Z34" si="15">Q26</f>
        <v>公共部分装修</v>
      </c>
      <c r="AA26" s="1488">
        <f t="shared" si="3"/>
        <v>1</v>
      </c>
      <c r="AB26" s="1488">
        <f t="shared" si="4"/>
        <v>1</v>
      </c>
      <c r="AC26" s="1488">
        <f t="shared" si="5"/>
        <v>1</v>
      </c>
    </row>
    <row r="27" spans="1:29" s="430" customFormat="1" ht="15">
      <c r="A27" s="427"/>
      <c r="B27" s="381" t="s">
        <v>2290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534"/>
      <c r="Q27" s="716" t="str">
        <f t="shared" si="11"/>
        <v>成新率</v>
      </c>
      <c r="R27" s="717" t="s">
        <v>17</v>
      </c>
      <c r="S27" s="718" t="e">
        <f t="shared" si="12"/>
        <v>#N/A</v>
      </c>
      <c r="T27" s="717" t="s">
        <v>17</v>
      </c>
      <c r="U27" s="718" t="e">
        <f t="shared" si="13"/>
        <v>#N/A</v>
      </c>
      <c r="V27" s="717" t="s">
        <v>17</v>
      </c>
      <c r="W27" s="718" t="e">
        <f t="shared" si="14"/>
        <v>#N/A</v>
      </c>
      <c r="X27" s="719"/>
      <c r="Y27" s="3534"/>
      <c r="Z27" s="720" t="str">
        <f t="shared" si="15"/>
        <v>成新率</v>
      </c>
      <c r="AA27" s="1488" t="e">
        <f t="shared" si="3"/>
        <v>#N/A</v>
      </c>
      <c r="AB27" s="1488" t="e">
        <f t="shared" si="4"/>
        <v>#N/A</v>
      </c>
      <c r="AC27" s="1488" t="e">
        <f t="shared" si="5"/>
        <v>#N/A</v>
      </c>
    </row>
    <row r="28" spans="1:29" ht="15">
      <c r="A28" s="431"/>
      <c r="B28" s="381" t="s">
        <v>2291</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534"/>
      <c r="Q28" s="1487" t="str">
        <f t="shared" si="11"/>
        <v>物业等级</v>
      </c>
      <c r="R28" s="714" t="s">
        <v>17</v>
      </c>
      <c r="S28" s="715">
        <f t="shared" si="12"/>
        <v>100</v>
      </c>
      <c r="T28" s="714" t="s">
        <v>17</v>
      </c>
      <c r="U28" s="715">
        <f t="shared" si="13"/>
        <v>100</v>
      </c>
      <c r="V28" s="714" t="s">
        <v>17</v>
      </c>
      <c r="W28" s="715">
        <f t="shared" si="14"/>
        <v>100</v>
      </c>
      <c r="X28" s="1490"/>
      <c r="Y28" s="3534"/>
      <c r="Z28" s="1491" t="str">
        <f t="shared" si="15"/>
        <v>物业等级</v>
      </c>
      <c r="AA28" s="1488">
        <f t="shared" si="3"/>
        <v>1</v>
      </c>
      <c r="AB28" s="1488">
        <f t="shared" si="4"/>
        <v>1</v>
      </c>
      <c r="AC28" s="1488">
        <f t="shared" si="5"/>
        <v>1</v>
      </c>
    </row>
    <row r="29" spans="1:29" ht="15">
      <c r="A29" s="431"/>
      <c r="B29" s="381" t="s">
        <v>2312</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534"/>
      <c r="Q29" s="1487" t="str">
        <f t="shared" si="11"/>
        <v>有无电梯</v>
      </c>
      <c r="R29" s="714" t="s">
        <v>17</v>
      </c>
      <c r="S29" s="715">
        <f t="shared" si="12"/>
        <v>100</v>
      </c>
      <c r="T29" s="714" t="s">
        <v>17</v>
      </c>
      <c r="U29" s="715">
        <f t="shared" si="13"/>
        <v>100</v>
      </c>
      <c r="V29" s="714" t="s">
        <v>17</v>
      </c>
      <c r="W29" s="715">
        <f t="shared" si="14"/>
        <v>100</v>
      </c>
      <c r="X29" s="1490"/>
      <c r="Y29" s="3534"/>
      <c r="Z29" s="1491" t="str">
        <f t="shared" si="15"/>
        <v>有无电梯</v>
      </c>
      <c r="AA29" s="1488">
        <f t="shared" si="3"/>
        <v>1</v>
      </c>
      <c r="AB29" s="1488">
        <f t="shared" si="4"/>
        <v>1</v>
      </c>
      <c r="AC29" s="1488">
        <f t="shared" si="5"/>
        <v>1</v>
      </c>
    </row>
    <row r="30" spans="1:29" ht="15">
      <c r="A30" s="431"/>
      <c r="B30" s="381" t="s">
        <v>2313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534"/>
      <c r="Q30" s="1487" t="str">
        <f t="shared" si="11"/>
        <v>建筑面积</v>
      </c>
      <c r="R30" s="714" t="s">
        <v>17</v>
      </c>
      <c r="S30" s="715" t="e">
        <f t="shared" si="12"/>
        <v>#N/A</v>
      </c>
      <c r="T30" s="714" t="s">
        <v>17</v>
      </c>
      <c r="U30" s="715" t="e">
        <f t="shared" si="13"/>
        <v>#N/A</v>
      </c>
      <c r="V30" s="714" t="s">
        <v>17</v>
      </c>
      <c r="W30" s="715" t="e">
        <f t="shared" si="14"/>
        <v>#N/A</v>
      </c>
      <c r="X30" s="1490"/>
      <c r="Y30" s="3534"/>
      <c r="Z30" s="1491" t="str">
        <f t="shared" si="15"/>
        <v>建筑面积</v>
      </c>
      <c r="AA30" s="1488" t="e">
        <f t="shared" si="3"/>
        <v>#N/A</v>
      </c>
      <c r="AB30" s="1488" t="e">
        <f t="shared" si="4"/>
        <v>#N/A</v>
      </c>
      <c r="AC30" s="1488" t="e">
        <f t="shared" si="5"/>
        <v>#N/A</v>
      </c>
    </row>
    <row r="31" spans="1:29" s="113" customFormat="1" ht="15">
      <c r="A31" s="432"/>
      <c r="B31" s="381" t="s">
        <v>2314</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534"/>
      <c r="Q31" s="1478" t="str">
        <f t="shared" si="11"/>
        <v>是否封闭</v>
      </c>
      <c r="R31" s="710" t="s">
        <v>17</v>
      </c>
      <c r="S31" s="711">
        <f t="shared" si="12"/>
        <v>100</v>
      </c>
      <c r="T31" s="710" t="s">
        <v>17</v>
      </c>
      <c r="U31" s="711">
        <f t="shared" si="13"/>
        <v>100</v>
      </c>
      <c r="V31" s="710" t="s">
        <v>17</v>
      </c>
      <c r="W31" s="711">
        <f t="shared" si="14"/>
        <v>100</v>
      </c>
      <c r="X31" s="712"/>
      <c r="Y31" s="3534"/>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534" t="s">
        <v>2140</v>
      </c>
      <c r="Q32" s="1487">
        <f t="shared" si="11"/>
        <v>111</v>
      </c>
      <c r="R32" s="714" t="s">
        <v>17</v>
      </c>
      <c r="S32" s="715">
        <f t="shared" si="12"/>
        <v>100</v>
      </c>
      <c r="T32" s="714" t="s">
        <v>17</v>
      </c>
      <c r="U32" s="715">
        <f t="shared" si="13"/>
        <v>100</v>
      </c>
      <c r="V32" s="714" t="s">
        <v>17</v>
      </c>
      <c r="W32" s="715">
        <f t="shared" si="14"/>
        <v>100</v>
      </c>
      <c r="X32" s="1490"/>
      <c r="Y32" s="3534" t="s">
        <v>2140</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534"/>
      <c r="Q33" s="1487">
        <f t="shared" si="11"/>
        <v>111</v>
      </c>
      <c r="R33" s="714" t="s">
        <v>17</v>
      </c>
      <c r="S33" s="715">
        <f t="shared" si="12"/>
        <v>100</v>
      </c>
      <c r="T33" s="714" t="s">
        <v>17</v>
      </c>
      <c r="U33" s="715">
        <f t="shared" si="13"/>
        <v>100</v>
      </c>
      <c r="V33" s="714" t="s">
        <v>17</v>
      </c>
      <c r="W33" s="715">
        <f t="shared" si="14"/>
        <v>100</v>
      </c>
      <c r="X33" s="1490"/>
      <c r="Y33" s="3534"/>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534"/>
      <c r="Q34" s="1487">
        <f t="shared" si="11"/>
        <v>111</v>
      </c>
      <c r="R34" s="714" t="s">
        <v>17</v>
      </c>
      <c r="S34" s="715">
        <f t="shared" si="12"/>
        <v>100</v>
      </c>
      <c r="T34" s="714" t="s">
        <v>17</v>
      </c>
      <c r="U34" s="715">
        <f t="shared" si="13"/>
        <v>100</v>
      </c>
      <c r="V34" s="714" t="s">
        <v>17</v>
      </c>
      <c r="W34" s="715">
        <f t="shared" si="14"/>
        <v>100</v>
      </c>
      <c r="X34" s="1490"/>
      <c r="Y34" s="3534"/>
      <c r="Z34" s="1491">
        <f t="shared" si="15"/>
        <v>111</v>
      </c>
      <c r="AA34" s="1488">
        <f t="shared" si="3"/>
        <v>1</v>
      </c>
      <c r="AB34" s="1488">
        <f t="shared" si="4"/>
        <v>1</v>
      </c>
      <c r="AC34" s="1488">
        <f t="shared" si="5"/>
        <v>1</v>
      </c>
    </row>
    <row r="35" spans="1:30" ht="15">
      <c r="A35" s="438" t="s">
        <v>2152</v>
      </c>
      <c r="B35" s="439"/>
      <c r="C35" s="1269" t="s">
        <v>1</v>
      </c>
      <c r="D35" s="1270"/>
      <c r="E35" s="1271"/>
      <c r="F35" s="1272"/>
      <c r="G35" s="1273"/>
      <c r="H35" s="1274"/>
      <c r="I35" s="1271"/>
      <c r="J35" s="1274"/>
      <c r="K35" s="723"/>
      <c r="L35" s="2900"/>
      <c r="M35" s="2901"/>
      <c r="N35" s="2892"/>
      <c r="O35" s="2901"/>
      <c r="P35" s="3527" t="str">
        <f>A35</f>
        <v>成交单价（元/平方米）</v>
      </c>
      <c r="Q35" s="3527"/>
      <c r="R35" s="3528">
        <f>E35</f>
        <v>0</v>
      </c>
      <c r="S35" s="3528"/>
      <c r="T35" s="3528">
        <f>G35</f>
        <v>0</v>
      </c>
      <c r="U35" s="3528"/>
      <c r="V35" s="3528">
        <f>I35</f>
        <v>0</v>
      </c>
      <c r="W35" s="3528"/>
      <c r="X35" s="699"/>
      <c r="Y35" s="721"/>
      <c r="Z35" s="699"/>
      <c r="AA35" s="699"/>
      <c r="AB35" s="699"/>
      <c r="AC35" s="699"/>
    </row>
    <row r="36" spans="1:30" ht="15.75" thickBot="1">
      <c r="A36" s="445" t="s">
        <v>2244</v>
      </c>
      <c r="B36" s="446"/>
      <c r="C36" s="1275" t="e">
        <f>R37</f>
        <v>#DIV/0!</v>
      </c>
      <c r="D36" s="2488" t="s">
        <v>2634</v>
      </c>
      <c r="E36" s="1276" t="e">
        <f>R36</f>
        <v>#DIV/0!</v>
      </c>
      <c r="F36" s="2489"/>
      <c r="G36" s="1275" t="e">
        <f>T36</f>
        <v>#DIV/0!</v>
      </c>
      <c r="H36" s="2489"/>
      <c r="I36" s="1276" t="e">
        <f>V36</f>
        <v>#DIV/0!</v>
      </c>
      <c r="J36" s="2489"/>
      <c r="K36" s="2491">
        <f>F36+H36+J36</f>
        <v>0</v>
      </c>
      <c r="L36" s="2900"/>
      <c r="M36" s="2901"/>
      <c r="N36" s="2892"/>
      <c r="O36" s="2901"/>
      <c r="P36" s="3527" t="str">
        <f>A36</f>
        <v>比较价值（元/平方米）</v>
      </c>
      <c r="Q36" s="3527"/>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699"/>
      <c r="Y36" s="699"/>
      <c r="Z36" s="699"/>
      <c r="AA36" s="699"/>
      <c r="AB36" s="699"/>
      <c r="AC36" s="699"/>
    </row>
    <row r="37" spans="1:30" ht="15.75" thickBot="1">
      <c r="A37" s="449" t="s">
        <v>2245</v>
      </c>
      <c r="B37" s="450"/>
      <c r="C37" s="1278" t="e">
        <f>R37</f>
        <v>#DIV/0!</v>
      </c>
      <c r="D37" s="1278"/>
      <c r="E37" s="1278"/>
      <c r="F37" s="1278"/>
      <c r="G37" s="1278"/>
      <c r="H37" s="1278"/>
      <c r="I37" s="1278"/>
      <c r="J37" s="1278"/>
      <c r="K37" s="724"/>
      <c r="L37" s="2900"/>
      <c r="M37" s="2901"/>
      <c r="N37" s="2901"/>
      <c r="O37" s="2901"/>
      <c r="P37" s="3524" t="str">
        <f>A37</f>
        <v>估价对象XX用房的比较价值（楼面单价，元/平方米）</v>
      </c>
      <c r="Q37" s="3525"/>
      <c r="R37" s="3554" t="e">
        <f>IF(F1="售价",ROUND(IF(D36="简单平均",AVERAGE(R36:W36),R36*F36+T36*H36+V36*J36),0),ROUND(IF(D36="简单平均",AVERAGE(R36:V36),R36*F36+T36*H36+V36*J36),1))</f>
        <v>#DIV/0!</v>
      </c>
      <c r="S37" s="3554"/>
      <c r="T37" s="3554"/>
      <c r="U37" s="3554"/>
      <c r="V37" s="3554"/>
      <c r="W37" s="3554"/>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2246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2247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2248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2249</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2123</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2160</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2125</v>
      </c>
      <c r="B49" s="467"/>
      <c r="C49" s="479" t="s">
        <v>2227</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2163</v>
      </c>
      <c r="B51" s="485" t="s">
        <v>2129</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2132</v>
      </c>
      <c r="C53" s="496" t="s">
        <v>2164</v>
      </c>
      <c r="D53" s="496" t="s">
        <v>2165</v>
      </c>
      <c r="E53" s="496" t="s">
        <v>2166</v>
      </c>
      <c r="F53" s="496" t="s">
        <v>2167</v>
      </c>
      <c r="G53" s="496" t="s">
        <v>2168</v>
      </c>
      <c r="H53" s="496" t="s">
        <v>2169</v>
      </c>
      <c r="I53" s="496" t="s">
        <v>2170</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2134</v>
      </c>
      <c r="B61" s="485" t="s">
        <v>2177</v>
      </c>
      <c r="C61" s="530" t="s">
        <v>2172</v>
      </c>
      <c r="D61" s="530" t="s">
        <v>2173</v>
      </c>
      <c r="E61" s="530" t="s">
        <v>2174</v>
      </c>
      <c r="F61" s="530" t="s">
        <v>2175</v>
      </c>
      <c r="G61" s="530" t="s">
        <v>2176</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2315</v>
      </c>
      <c r="C63" s="535" t="s">
        <v>2172</v>
      </c>
      <c r="D63" s="535" t="s">
        <v>2173</v>
      </c>
      <c r="E63" s="535" t="s">
        <v>2174</v>
      </c>
      <c r="F63" s="535" t="s">
        <v>2175</v>
      </c>
      <c r="G63" s="535" t="s">
        <v>2176</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2264</v>
      </c>
      <c r="C65" s="616" t="s">
        <v>2250</v>
      </c>
      <c r="D65" s="616" t="s">
        <v>2251</v>
      </c>
      <c r="E65" s="616" t="s">
        <v>2252</v>
      </c>
      <c r="F65" s="616" t="s">
        <v>2253</v>
      </c>
      <c r="G65" s="616" t="s">
        <v>2254</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2184</v>
      </c>
      <c r="C67" s="535" t="s">
        <v>2172</v>
      </c>
      <c r="D67" s="535" t="s">
        <v>2173</v>
      </c>
      <c r="E67" s="535" t="s">
        <v>2174</v>
      </c>
      <c r="F67" s="535" t="s">
        <v>2175</v>
      </c>
      <c r="G67" s="535" t="s">
        <v>2176</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2304</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2138</v>
      </c>
      <c r="B77" s="485" t="s">
        <v>2191</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2307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2308</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2316</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2317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2318</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2319</v>
      </c>
      <c r="B1" s="355"/>
      <c r="C1" s="356" t="s">
        <v>2320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1903</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1905</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2220</v>
      </c>
      <c r="B4" s="362"/>
      <c r="C4" s="3510" t="s">
        <v>2221</v>
      </c>
      <c r="D4" s="3511"/>
      <c r="E4" s="3512" t="s">
        <v>2222</v>
      </c>
      <c r="F4" s="3513"/>
      <c r="G4" s="3510" t="s">
        <v>2223</v>
      </c>
      <c r="H4" s="3511"/>
      <c r="I4" s="3510" t="s">
        <v>2224</v>
      </c>
      <c r="J4" s="3511"/>
      <c r="K4" s="567" t="s">
        <v>2225</v>
      </c>
      <c r="L4" s="2891"/>
      <c r="M4" s="2892"/>
      <c r="N4" s="2892"/>
      <c r="O4" s="2892"/>
      <c r="P4" s="3514" t="s">
        <v>2226</v>
      </c>
      <c r="Q4" s="3515"/>
      <c r="R4" s="3497" t="s">
        <v>2222</v>
      </c>
      <c r="S4" s="3498"/>
      <c r="T4" s="3497" t="s">
        <v>2223</v>
      </c>
      <c r="U4" s="3498"/>
      <c r="V4" s="3522" t="s">
        <v>2224</v>
      </c>
      <c r="W4" s="3522"/>
      <c r="X4" s="1490"/>
      <c r="Y4" s="3497" t="s">
        <v>2226</v>
      </c>
      <c r="Z4" s="3498"/>
      <c r="AA4" s="3492" t="s">
        <v>2222</v>
      </c>
      <c r="AB4" s="3493" t="s">
        <v>2223</v>
      </c>
      <c r="AC4" s="3492" t="s">
        <v>2224</v>
      </c>
    </row>
    <row r="5" spans="1:30" ht="15">
      <c r="A5" s="364"/>
      <c r="B5" s="365"/>
      <c r="C5" s="3503" t="s">
        <v>2117</v>
      </c>
      <c r="D5" s="3504"/>
      <c r="E5" s="3501" t="s">
        <v>2118</v>
      </c>
      <c r="F5" s="3502"/>
      <c r="G5" s="3503" t="s">
        <v>2119</v>
      </c>
      <c r="H5" s="3504"/>
      <c r="I5" s="3503" t="s">
        <v>2120</v>
      </c>
      <c r="J5" s="3504"/>
      <c r="K5" s="567"/>
      <c r="L5" s="2891"/>
      <c r="M5" s="2892"/>
      <c r="N5" s="2892"/>
      <c r="O5" s="2892"/>
      <c r="P5" s="3516"/>
      <c r="Q5" s="3517"/>
      <c r="R5" s="3499"/>
      <c r="S5" s="3500"/>
      <c r="T5" s="3499"/>
      <c r="U5" s="3500"/>
      <c r="V5" s="3522"/>
      <c r="W5" s="3522"/>
      <c r="X5" s="1490"/>
      <c r="Y5" s="3499"/>
      <c r="Z5" s="3500"/>
      <c r="AA5" s="3493"/>
      <c r="AB5" s="3493"/>
      <c r="AC5" s="3493"/>
    </row>
    <row r="6" spans="1:30" ht="15.75" thickBot="1">
      <c r="A6" s="366"/>
      <c r="B6" s="367"/>
      <c r="C6" s="3505" t="s">
        <v>2121</v>
      </c>
      <c r="D6" s="3506"/>
      <c r="E6" s="3507" t="s">
        <v>2121</v>
      </c>
      <c r="F6" s="3508"/>
      <c r="G6" s="3505" t="s">
        <v>2121</v>
      </c>
      <c r="H6" s="3506"/>
      <c r="I6" s="3505" t="s">
        <v>2121</v>
      </c>
      <c r="J6" s="3506"/>
      <c r="K6" s="567" t="s">
        <v>2122</v>
      </c>
      <c r="L6" s="2891"/>
      <c r="M6" s="2892"/>
      <c r="N6" s="2892"/>
      <c r="O6" s="2892"/>
      <c r="P6" s="3518"/>
      <c r="Q6" s="3519"/>
      <c r="R6" s="3499"/>
      <c r="S6" s="3500"/>
      <c r="T6" s="3520"/>
      <c r="U6" s="3521"/>
      <c r="V6" s="3522"/>
      <c r="W6" s="3522"/>
      <c r="X6" s="1490"/>
      <c r="Y6" s="3520"/>
      <c r="Z6" s="3521"/>
      <c r="AA6" s="3494"/>
      <c r="AB6" s="3494"/>
      <c r="AC6" s="3494"/>
    </row>
    <row r="7" spans="1:30" s="113" customFormat="1" ht="15.75" thickBot="1">
      <c r="A7" s="368" t="s">
        <v>2123</v>
      </c>
      <c r="B7" s="369"/>
      <c r="C7" s="370">
        <f>'数据-取费表'!B2</f>
        <v>44742</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495" t="s">
        <v>2124</v>
      </c>
      <c r="Q7" s="3523"/>
      <c r="R7" s="710" t="s">
        <v>17</v>
      </c>
      <c r="S7" s="711">
        <f t="shared" ref="S7:S15" si="0">F7</f>
        <v>0</v>
      </c>
      <c r="T7" s="710" t="s">
        <v>17</v>
      </c>
      <c r="U7" s="711">
        <f t="shared" ref="U7:U15" si="1">H7</f>
        <v>0</v>
      </c>
      <c r="V7" s="710" t="s">
        <v>17</v>
      </c>
      <c r="W7" s="711">
        <f t="shared" ref="W7:W15" si="2">J7</f>
        <v>0</v>
      </c>
      <c r="X7" s="712"/>
      <c r="Y7" s="3495" t="s">
        <v>2124</v>
      </c>
      <c r="Z7" s="3496"/>
      <c r="AA7" s="713" t="e">
        <f>D7/F7</f>
        <v>#DIV/0!</v>
      </c>
      <c r="AB7" s="713" t="e">
        <f>D7/H7</f>
        <v>#DIV/0!</v>
      </c>
      <c r="AC7" s="713" t="e">
        <f>D7/J7</f>
        <v>#DIV/0!</v>
      </c>
    </row>
    <row r="8" spans="1:30" s="113" customFormat="1" ht="15.75" thickBot="1">
      <c r="A8" s="368" t="s">
        <v>2125</v>
      </c>
      <c r="B8" s="369"/>
      <c r="C8" s="374" t="s">
        <v>2126</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495" t="s">
        <v>2127</v>
      </c>
      <c r="Q8" s="3496"/>
      <c r="R8" s="710" t="s">
        <v>17</v>
      </c>
      <c r="S8" s="711">
        <f t="shared" si="0"/>
        <v>0</v>
      </c>
      <c r="T8" s="710" t="s">
        <v>17</v>
      </c>
      <c r="U8" s="711">
        <f t="shared" si="1"/>
        <v>0</v>
      </c>
      <c r="V8" s="710" t="s">
        <v>17</v>
      </c>
      <c r="W8" s="711">
        <f t="shared" si="2"/>
        <v>0</v>
      </c>
      <c r="X8" s="712"/>
      <c r="Y8" s="3495" t="s">
        <v>2127</v>
      </c>
      <c r="Z8" s="3496"/>
      <c r="AA8" s="713" t="e">
        <f t="shared" ref="AA8:AA45" si="3">D8/F8</f>
        <v>#DIV/0!</v>
      </c>
      <c r="AB8" s="713" t="e">
        <f t="shared" ref="AB8:AB45" si="4">D8/H8</f>
        <v>#DIV/0!</v>
      </c>
      <c r="AC8" s="713" t="e">
        <f t="shared" ref="AC8:AC45" si="5">D8/J8</f>
        <v>#DIV/0!</v>
      </c>
    </row>
    <row r="9" spans="1:30" s="113" customFormat="1">
      <c r="A9" s="375" t="s">
        <v>2128</v>
      </c>
      <c r="B9" s="67" t="s">
        <v>2129</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527" t="s">
        <v>2130</v>
      </c>
      <c r="Q9" s="1478" t="str">
        <f t="shared" ref="Q9:Q15" si="6">B9</f>
        <v>用途</v>
      </c>
      <c r="R9" s="710" t="s">
        <v>17</v>
      </c>
      <c r="S9" s="711">
        <f t="shared" si="0"/>
        <v>100</v>
      </c>
      <c r="T9" s="710" t="s">
        <v>17</v>
      </c>
      <c r="U9" s="711">
        <f t="shared" si="1"/>
        <v>100</v>
      </c>
      <c r="V9" s="710" t="s">
        <v>17</v>
      </c>
      <c r="W9" s="711">
        <f t="shared" si="2"/>
        <v>100</v>
      </c>
      <c r="X9" s="712"/>
      <c r="Y9" s="3439" t="s">
        <v>2131</v>
      </c>
      <c r="Z9" s="55" t="str">
        <f t="shared" ref="Z9:Z15" si="7">Q9</f>
        <v>用途</v>
      </c>
      <c r="AA9" s="713">
        <f t="shared" si="3"/>
        <v>1</v>
      </c>
      <c r="AB9" s="713">
        <f t="shared" si="4"/>
        <v>1</v>
      </c>
      <c r="AC9" s="713">
        <f t="shared" si="5"/>
        <v>1</v>
      </c>
    </row>
    <row r="10" spans="1:30" s="386" customFormat="1" ht="27">
      <c r="A10" s="380"/>
      <c r="B10" s="381" t="s">
        <v>2132</v>
      </c>
      <c r="C10" s="391"/>
      <c r="D10" s="132">
        <v>100</v>
      </c>
      <c r="E10" s="424"/>
      <c r="F10" s="132">
        <f>ROUND(100/'数据-取费表'!G16,0)</f>
        <v>109</v>
      </c>
      <c r="G10" s="422"/>
      <c r="H10" s="132">
        <f>ROUND(100/'数据-取费表'!G16,0)</f>
        <v>109</v>
      </c>
      <c r="I10" s="422"/>
      <c r="J10" s="132">
        <f>ROUND(100/'数据-取费表'!G16,0)</f>
        <v>109</v>
      </c>
      <c r="K10" s="628"/>
      <c r="L10" s="2895"/>
      <c r="M10" s="2896"/>
      <c r="N10" s="2896"/>
      <c r="O10" s="2949"/>
      <c r="P10" s="3527"/>
      <c r="Q10" s="1478" t="str">
        <f t="shared" si="6"/>
        <v>土地使用年限（年）</v>
      </c>
      <c r="R10" s="710" t="s">
        <v>17</v>
      </c>
      <c r="S10" s="711">
        <f t="shared" si="0"/>
        <v>109</v>
      </c>
      <c r="T10" s="710" t="s">
        <v>17</v>
      </c>
      <c r="U10" s="711">
        <f t="shared" si="1"/>
        <v>109</v>
      </c>
      <c r="V10" s="710" t="s">
        <v>17</v>
      </c>
      <c r="W10" s="711">
        <f t="shared" si="2"/>
        <v>109</v>
      </c>
      <c r="X10" s="712"/>
      <c r="Y10" s="3439"/>
      <c r="Z10" s="55" t="str">
        <f t="shared" si="7"/>
        <v>土地使用年限（年）</v>
      </c>
      <c r="AA10" s="713">
        <f t="shared" si="3"/>
        <v>0.91743119266055051</v>
      </c>
      <c r="AB10" s="713">
        <f t="shared" si="4"/>
        <v>0.91743119266055051</v>
      </c>
      <c r="AC10" s="713">
        <f t="shared" si="5"/>
        <v>0.91743119266055051</v>
      </c>
    </row>
    <row r="11" spans="1:30" ht="15">
      <c r="A11" s="387"/>
      <c r="B11" s="381" t="s">
        <v>2133</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527"/>
      <c r="Q11" s="1478" t="str">
        <f t="shared" si="6"/>
        <v>容积率</v>
      </c>
      <c r="R11" s="710" t="s">
        <v>17</v>
      </c>
      <c r="S11" s="711" t="e">
        <f t="shared" si="0"/>
        <v>#N/A</v>
      </c>
      <c r="T11" s="710" t="s">
        <v>17</v>
      </c>
      <c r="U11" s="711" t="e">
        <f t="shared" si="1"/>
        <v>#N/A</v>
      </c>
      <c r="V11" s="710" t="s">
        <v>17</v>
      </c>
      <c r="W11" s="711" t="e">
        <f t="shared" si="2"/>
        <v>#N/A</v>
      </c>
      <c r="X11" s="712"/>
      <c r="Y11" s="3439"/>
      <c r="Z11" s="55" t="str">
        <f t="shared" si="7"/>
        <v>容积率</v>
      </c>
      <c r="AA11" s="713" t="e">
        <f t="shared" si="3"/>
        <v>#N/A</v>
      </c>
      <c r="AB11" s="713" t="e">
        <f t="shared" si="4"/>
        <v>#N/A</v>
      </c>
      <c r="AC11" s="713" t="e">
        <f t="shared" si="5"/>
        <v>#N/A</v>
      </c>
    </row>
    <row r="12" spans="1:30" s="113" customFormat="1" ht="15">
      <c r="A12" s="390"/>
      <c r="B12" s="2029" t="s">
        <v>2322</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527"/>
      <c r="Q12" s="1478" t="str">
        <f t="shared" si="6"/>
        <v>配建</v>
      </c>
      <c r="R12" s="710" t="s">
        <v>17</v>
      </c>
      <c r="S12" s="711">
        <f t="shared" si="0"/>
        <v>100</v>
      </c>
      <c r="T12" s="710" t="s">
        <v>17</v>
      </c>
      <c r="U12" s="711">
        <f t="shared" si="1"/>
        <v>100</v>
      </c>
      <c r="V12" s="710" t="s">
        <v>17</v>
      </c>
      <c r="W12" s="711">
        <f t="shared" si="2"/>
        <v>100</v>
      </c>
      <c r="X12" s="712"/>
      <c r="Y12" s="3439"/>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527"/>
      <c r="Q13" s="1478">
        <f t="shared" si="6"/>
        <v>111</v>
      </c>
      <c r="R13" s="710" t="s">
        <v>17</v>
      </c>
      <c r="S13" s="711">
        <f t="shared" si="0"/>
        <v>100</v>
      </c>
      <c r="T13" s="710" t="s">
        <v>17</v>
      </c>
      <c r="U13" s="711">
        <f t="shared" si="1"/>
        <v>100</v>
      </c>
      <c r="V13" s="710" t="s">
        <v>17</v>
      </c>
      <c r="W13" s="711">
        <f t="shared" si="2"/>
        <v>100</v>
      </c>
      <c r="X13" s="712"/>
      <c r="Y13" s="3439"/>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527"/>
      <c r="Q14" s="1478">
        <f t="shared" si="6"/>
        <v>111</v>
      </c>
      <c r="R14" s="710" t="s">
        <v>17</v>
      </c>
      <c r="S14" s="711">
        <f t="shared" si="0"/>
        <v>100</v>
      </c>
      <c r="T14" s="710" t="s">
        <v>17</v>
      </c>
      <c r="U14" s="711">
        <f t="shared" si="1"/>
        <v>100</v>
      </c>
      <c r="V14" s="710" t="s">
        <v>17</v>
      </c>
      <c r="W14" s="711">
        <f t="shared" si="2"/>
        <v>100</v>
      </c>
      <c r="X14" s="712"/>
      <c r="Y14" s="3439"/>
      <c r="Z14" s="55">
        <f t="shared" si="7"/>
        <v>111</v>
      </c>
      <c r="AA14" s="713">
        <f>D14/F14</f>
        <v>1</v>
      </c>
      <c r="AB14" s="713">
        <f>D14/H14</f>
        <v>1</v>
      </c>
      <c r="AC14" s="713">
        <f>D14/J14</f>
        <v>1</v>
      </c>
    </row>
    <row r="15" spans="1:30" ht="15">
      <c r="A15" s="399" t="s">
        <v>2134</v>
      </c>
      <c r="B15" s="65" t="s">
        <v>1698</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529" t="s">
        <v>2135</v>
      </c>
      <c r="Q15" s="1487" t="str">
        <f t="shared" si="6"/>
        <v>居住社区成熟度</v>
      </c>
      <c r="R15" s="714" t="s">
        <v>17</v>
      </c>
      <c r="S15" s="715">
        <f t="shared" si="0"/>
        <v>100</v>
      </c>
      <c r="T15" s="714" t="s">
        <v>17</v>
      </c>
      <c r="U15" s="715">
        <f t="shared" si="1"/>
        <v>100</v>
      </c>
      <c r="V15" s="714" t="s">
        <v>17</v>
      </c>
      <c r="W15" s="715">
        <f t="shared" si="2"/>
        <v>100</v>
      </c>
      <c r="X15" s="1490"/>
      <c r="Y15" s="3529" t="s">
        <v>2135</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8"/>
      <c r="M16" s="2892"/>
      <c r="N16" s="2892"/>
      <c r="O16" s="2950"/>
      <c r="P16" s="3530"/>
      <c r="Q16" s="1487"/>
      <c r="R16" s="714"/>
      <c r="S16" s="715"/>
      <c r="T16" s="714"/>
      <c r="U16" s="715"/>
      <c r="V16" s="714"/>
      <c r="W16" s="715"/>
      <c r="X16" s="1490"/>
      <c r="Y16" s="3530"/>
      <c r="Z16" s="1491"/>
      <c r="AA16" s="1488">
        <v>1</v>
      </c>
      <c r="AB16" s="1488">
        <v>1</v>
      </c>
      <c r="AC16" s="1488">
        <v>1</v>
      </c>
    </row>
    <row r="17" spans="1:29" ht="15">
      <c r="A17" s="387"/>
      <c r="B17" s="410" t="s">
        <v>2228</v>
      </c>
      <c r="C17" s="2091"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530"/>
      <c r="Q17" s="1487" t="str">
        <f>B17</f>
        <v>商业繁华度</v>
      </c>
      <c r="R17" s="714" t="s">
        <v>17</v>
      </c>
      <c r="S17" s="715">
        <f>F17</f>
        <v>100</v>
      </c>
      <c r="T17" s="714" t="s">
        <v>17</v>
      </c>
      <c r="U17" s="715">
        <f>H17</f>
        <v>100</v>
      </c>
      <c r="V17" s="714" t="s">
        <v>17</v>
      </c>
      <c r="W17" s="715">
        <f>J17</f>
        <v>100</v>
      </c>
      <c r="X17" s="1490"/>
      <c r="Y17" s="3530"/>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8"/>
      <c r="M18" s="2892"/>
      <c r="N18" s="2892"/>
      <c r="O18" s="2950"/>
      <c r="P18" s="3530"/>
      <c r="Q18" s="1487"/>
      <c r="R18" s="714"/>
      <c r="S18" s="715"/>
      <c r="T18" s="714"/>
      <c r="U18" s="715"/>
      <c r="V18" s="714"/>
      <c r="W18" s="715"/>
      <c r="X18" s="1490"/>
      <c r="Y18" s="3530"/>
      <c r="Z18" s="1491"/>
      <c r="AA18" s="1488">
        <v>1</v>
      </c>
      <c r="AB18" s="1488">
        <v>1</v>
      </c>
      <c r="AC18" s="1488">
        <v>1</v>
      </c>
    </row>
    <row r="19" spans="1:29" ht="15">
      <c r="A19" s="387"/>
      <c r="B19" s="410" t="s">
        <v>2262</v>
      </c>
      <c r="C19" s="2091"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530"/>
      <c r="Q19" s="1487" t="str">
        <f>B19</f>
        <v>办公集聚程度</v>
      </c>
      <c r="R19" s="714" t="s">
        <v>17</v>
      </c>
      <c r="S19" s="715">
        <f>F19</f>
        <v>100</v>
      </c>
      <c r="T19" s="714" t="s">
        <v>17</v>
      </c>
      <c r="U19" s="715">
        <f>H19</f>
        <v>100</v>
      </c>
      <c r="V19" s="714" t="s">
        <v>17</v>
      </c>
      <c r="W19" s="715">
        <f>J19</f>
        <v>100</v>
      </c>
      <c r="X19" s="1490"/>
      <c r="Y19" s="3530"/>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8"/>
      <c r="M20" s="2892"/>
      <c r="N20" s="2892"/>
      <c r="O20" s="2950"/>
      <c r="P20" s="3530"/>
      <c r="Q20" s="1487"/>
      <c r="R20" s="714"/>
      <c r="S20" s="715"/>
      <c r="T20" s="714"/>
      <c r="U20" s="715"/>
      <c r="V20" s="714"/>
      <c r="W20" s="715"/>
      <c r="X20" s="1490"/>
      <c r="Y20" s="3530"/>
      <c r="Z20" s="1491"/>
      <c r="AA20" s="1488">
        <v>1</v>
      </c>
      <c r="AB20" s="1488">
        <v>1</v>
      </c>
      <c r="AC20" s="1488">
        <v>1</v>
      </c>
    </row>
    <row r="21" spans="1:29" ht="15">
      <c r="A21" s="387"/>
      <c r="B21" s="410" t="s">
        <v>2284</v>
      </c>
      <c r="C21" s="2036"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530"/>
      <c r="Q21" s="1487" t="str">
        <f>B21</f>
        <v>交通便捷度</v>
      </c>
      <c r="R21" s="714" t="s">
        <v>17</v>
      </c>
      <c r="S21" s="715">
        <f>F21</f>
        <v>100</v>
      </c>
      <c r="T21" s="714" t="s">
        <v>17</v>
      </c>
      <c r="U21" s="715">
        <f>H21</f>
        <v>100</v>
      </c>
      <c r="V21" s="714" t="s">
        <v>17</v>
      </c>
      <c r="W21" s="715">
        <f>J21</f>
        <v>100</v>
      </c>
      <c r="X21" s="1490"/>
      <c r="Y21" s="3530"/>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8"/>
      <c r="M22" s="2892"/>
      <c r="N22" s="2892"/>
      <c r="O22" s="2950"/>
      <c r="P22" s="3530"/>
      <c r="Q22" s="1487"/>
      <c r="R22" s="714"/>
      <c r="S22" s="715"/>
      <c r="T22" s="714"/>
      <c r="U22" s="715"/>
      <c r="V22" s="714"/>
      <c r="W22" s="715"/>
      <c r="X22" s="1490"/>
      <c r="Y22" s="3530"/>
      <c r="Z22" s="1491"/>
      <c r="AA22" s="1488">
        <v>1</v>
      </c>
      <c r="AB22" s="1488">
        <v>1</v>
      </c>
      <c r="AC22" s="1488">
        <v>1</v>
      </c>
    </row>
    <row r="23" spans="1:29" ht="15">
      <c r="A23" s="364"/>
      <c r="B23" s="410" t="s">
        <v>2323</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530"/>
      <c r="Q23" s="1487" t="str">
        <f t="shared" ref="Q23:Q37" si="8">B23</f>
        <v>区域土地利用方向</v>
      </c>
      <c r="R23" s="714" t="s">
        <v>17</v>
      </c>
      <c r="S23" s="715">
        <f>F23</f>
        <v>100</v>
      </c>
      <c r="T23" s="714" t="s">
        <v>17</v>
      </c>
      <c r="U23" s="715">
        <f>H23</f>
        <v>100</v>
      </c>
      <c r="V23" s="714" t="s">
        <v>17</v>
      </c>
      <c r="W23" s="715">
        <f>J23</f>
        <v>100</v>
      </c>
      <c r="X23" s="1490"/>
      <c r="Y23" s="3530"/>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8"/>
      <c r="M24" s="2892"/>
      <c r="N24" s="2892"/>
      <c r="O24" s="2950"/>
      <c r="P24" s="3530"/>
      <c r="Q24" s="1487"/>
      <c r="R24" s="714"/>
      <c r="S24" s="715"/>
      <c r="T24" s="714"/>
      <c r="U24" s="715"/>
      <c r="V24" s="714"/>
      <c r="W24" s="715"/>
      <c r="X24" s="1490"/>
      <c r="Y24" s="3530"/>
      <c r="Z24" s="1491"/>
      <c r="AA24" s="1488"/>
      <c r="AB24" s="1488"/>
      <c r="AC24" s="1488"/>
    </row>
    <row r="25" spans="1:29" ht="27">
      <c r="A25" s="364"/>
      <c r="B25" s="1246" t="s">
        <v>2324</v>
      </c>
      <c r="C25" s="2091"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530"/>
      <c r="Q25" s="1487" t="str">
        <f t="shared" si="8"/>
        <v>自然及人文环境状况</v>
      </c>
      <c r="R25" s="714" t="s">
        <v>17</v>
      </c>
      <c r="S25" s="715">
        <f>F25</f>
        <v>100</v>
      </c>
      <c r="T25" s="714" t="s">
        <v>17</v>
      </c>
      <c r="U25" s="715">
        <f>H25</f>
        <v>100</v>
      </c>
      <c r="V25" s="714" t="s">
        <v>17</v>
      </c>
      <c r="W25" s="715">
        <f>J25</f>
        <v>100</v>
      </c>
      <c r="X25" s="1490"/>
      <c r="Y25" s="3530"/>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8"/>
      <c r="M26" s="2892"/>
      <c r="N26" s="2892"/>
      <c r="O26" s="2950"/>
      <c r="P26" s="3530"/>
      <c r="Q26" s="1487"/>
      <c r="R26" s="714"/>
      <c r="S26" s="715"/>
      <c r="T26" s="714"/>
      <c r="U26" s="715"/>
      <c r="V26" s="714"/>
      <c r="W26" s="715"/>
      <c r="X26" s="1490"/>
      <c r="Y26" s="3530"/>
      <c r="Z26" s="1491"/>
      <c r="AA26" s="1488">
        <v>1</v>
      </c>
      <c r="AB26" s="1488">
        <v>1</v>
      </c>
      <c r="AC26" s="1488">
        <v>1</v>
      </c>
    </row>
    <row r="27" spans="1:29" s="113" customFormat="1" ht="15">
      <c r="A27" s="605"/>
      <c r="B27" s="1246" t="s">
        <v>2229</v>
      </c>
      <c r="C27" s="2036"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530"/>
      <c r="Q27" s="1478" t="str">
        <f t="shared" si="8"/>
        <v>公共配套设施</v>
      </c>
      <c r="R27" s="710" t="s">
        <v>17</v>
      </c>
      <c r="S27" s="711">
        <f>F27</f>
        <v>100</v>
      </c>
      <c r="T27" s="710" t="s">
        <v>17</v>
      </c>
      <c r="U27" s="711">
        <f>H27</f>
        <v>100</v>
      </c>
      <c r="V27" s="710" t="s">
        <v>17</v>
      </c>
      <c r="W27" s="711">
        <f>J27</f>
        <v>100</v>
      </c>
      <c r="X27" s="712"/>
      <c r="Y27" s="3530"/>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3"/>
      <c r="M28" s="2894"/>
      <c r="N28" s="2894"/>
      <c r="O28" s="2948"/>
      <c r="P28" s="3530"/>
      <c r="Q28" s="1478"/>
      <c r="R28" s="710"/>
      <c r="S28" s="711"/>
      <c r="T28" s="710"/>
      <c r="U28" s="711"/>
      <c r="V28" s="710"/>
      <c r="W28" s="711"/>
      <c r="X28" s="712"/>
      <c r="Y28" s="3530"/>
      <c r="Z28" s="55"/>
      <c r="AA28" s="1488">
        <v>1</v>
      </c>
      <c r="AB28" s="1488">
        <v>1</v>
      </c>
      <c r="AC28" s="1488">
        <v>1</v>
      </c>
    </row>
    <row r="29" spans="1:29" s="113" customFormat="1" ht="15">
      <c r="A29" s="605"/>
      <c r="B29" s="1246" t="s">
        <v>2230</v>
      </c>
      <c r="C29" s="2036"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530"/>
      <c r="Q29" s="1478" t="str">
        <f t="shared" ref="Q29" si="9">B29</f>
        <v>基础设施水平</v>
      </c>
      <c r="R29" s="710" t="s">
        <v>17</v>
      </c>
      <c r="S29" s="711">
        <f>F29</f>
        <v>100</v>
      </c>
      <c r="T29" s="710" t="s">
        <v>17</v>
      </c>
      <c r="U29" s="711">
        <f>H29</f>
        <v>100</v>
      </c>
      <c r="V29" s="710" t="s">
        <v>17</v>
      </c>
      <c r="W29" s="711">
        <f>J29</f>
        <v>100</v>
      </c>
      <c r="X29" s="712"/>
      <c r="Y29" s="3530"/>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3"/>
      <c r="M30" s="2894"/>
      <c r="N30" s="2894"/>
      <c r="O30" s="2948"/>
      <c r="P30" s="3530"/>
      <c r="Q30" s="1478"/>
      <c r="R30" s="710"/>
      <c r="S30" s="711"/>
      <c r="T30" s="710"/>
      <c r="U30" s="711"/>
      <c r="V30" s="710"/>
      <c r="W30" s="711"/>
      <c r="X30" s="712"/>
      <c r="Y30" s="3530"/>
      <c r="Z30" s="55"/>
      <c r="AA30" s="1488">
        <v>1</v>
      </c>
      <c r="AB30" s="1488">
        <v>1</v>
      </c>
      <c r="AC30" s="1488">
        <v>1</v>
      </c>
    </row>
    <row r="31" spans="1:29" ht="15">
      <c r="A31" s="387"/>
      <c r="B31" s="415" t="s">
        <v>2231</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53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30"/>
      <c r="Z31" s="1491" t="str">
        <f t="shared" ref="Z31:Z45" si="13">Q31</f>
        <v>临街状况</v>
      </c>
      <c r="AA31" s="1488">
        <f t="shared" si="3"/>
        <v>1</v>
      </c>
      <c r="AB31" s="1488">
        <f t="shared" si="4"/>
        <v>1</v>
      </c>
      <c r="AC31" s="1488">
        <f t="shared" si="5"/>
        <v>1</v>
      </c>
    </row>
    <row r="32" spans="1:29" ht="27">
      <c r="A32" s="387"/>
      <c r="B32" s="1246" t="s">
        <v>2266</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530"/>
      <c r="Q32" s="1487" t="str">
        <f t="shared" si="8"/>
        <v>毗邻道路的类型与等级</v>
      </c>
      <c r="R32" s="714" t="s">
        <v>17</v>
      </c>
      <c r="S32" s="715">
        <f t="shared" si="10"/>
        <v>100</v>
      </c>
      <c r="T32" s="714" t="s">
        <v>17</v>
      </c>
      <c r="U32" s="715">
        <f t="shared" si="11"/>
        <v>100</v>
      </c>
      <c r="V32" s="714" t="s">
        <v>17</v>
      </c>
      <c r="W32" s="715">
        <f t="shared" si="12"/>
        <v>100</v>
      </c>
      <c r="X32" s="1490"/>
      <c r="Y32" s="3530"/>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8"/>
      <c r="M33" s="2892"/>
      <c r="N33" s="2892"/>
      <c r="O33" s="2950"/>
      <c r="P33" s="3530"/>
      <c r="Q33" s="1487"/>
      <c r="R33" s="714"/>
      <c r="S33" s="715"/>
      <c r="T33" s="714"/>
      <c r="U33" s="715"/>
      <c r="V33" s="714"/>
      <c r="W33" s="715"/>
      <c r="X33" s="1490"/>
      <c r="Y33" s="3530"/>
      <c r="Z33" s="1491"/>
      <c r="AA33" s="1488">
        <v>1</v>
      </c>
      <c r="AB33" s="1488">
        <v>1</v>
      </c>
      <c r="AC33" s="1488">
        <v>1</v>
      </c>
    </row>
    <row r="34" spans="1:29" ht="15">
      <c r="A34" s="387"/>
      <c r="B34" s="381" t="s">
        <v>2325</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530"/>
      <c r="Q34" s="1487" t="str">
        <f t="shared" si="8"/>
        <v>土地级别</v>
      </c>
      <c r="R34" s="714" t="s">
        <v>17</v>
      </c>
      <c r="S34" s="715">
        <f t="shared" si="10"/>
        <v>100</v>
      </c>
      <c r="T34" s="714" t="s">
        <v>17</v>
      </c>
      <c r="U34" s="715">
        <f t="shared" si="11"/>
        <v>100</v>
      </c>
      <c r="V34" s="714" t="s">
        <v>17</v>
      </c>
      <c r="W34" s="715">
        <f t="shared" si="12"/>
        <v>100</v>
      </c>
      <c r="X34" s="1490"/>
      <c r="Y34" s="353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530"/>
      <c r="Q35" s="1487">
        <f t="shared" si="8"/>
        <v>111</v>
      </c>
      <c r="R35" s="714" t="s">
        <v>17</v>
      </c>
      <c r="S35" s="715">
        <f t="shared" si="10"/>
        <v>100</v>
      </c>
      <c r="T35" s="714" t="s">
        <v>17</v>
      </c>
      <c r="U35" s="715">
        <f t="shared" si="11"/>
        <v>100</v>
      </c>
      <c r="V35" s="714" t="s">
        <v>17</v>
      </c>
      <c r="W35" s="715">
        <f t="shared" si="12"/>
        <v>100</v>
      </c>
      <c r="X35" s="1490"/>
      <c r="Y35" s="353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53" t="s">
        <v>2140</v>
      </c>
      <c r="Q36" s="1487">
        <f t="shared" si="8"/>
        <v>111</v>
      </c>
      <c r="R36" s="714" t="s">
        <v>17</v>
      </c>
      <c r="S36" s="715">
        <f t="shared" si="10"/>
        <v>100</v>
      </c>
      <c r="T36" s="714" t="s">
        <v>17</v>
      </c>
      <c r="U36" s="715">
        <f t="shared" si="11"/>
        <v>100</v>
      </c>
      <c r="V36" s="714" t="s">
        <v>17</v>
      </c>
      <c r="W36" s="715">
        <f t="shared" si="12"/>
        <v>100</v>
      </c>
      <c r="X36" s="1490"/>
      <c r="Y36" s="3534" t="s">
        <v>2140</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534"/>
      <c r="Q37" s="1487">
        <f t="shared" si="8"/>
        <v>111</v>
      </c>
      <c r="R37" s="717" t="s">
        <v>17</v>
      </c>
      <c r="S37" s="718">
        <f t="shared" si="10"/>
        <v>100</v>
      </c>
      <c r="T37" s="717" t="s">
        <v>17</v>
      </c>
      <c r="U37" s="718">
        <f t="shared" si="11"/>
        <v>100</v>
      </c>
      <c r="V37" s="717" t="s">
        <v>17</v>
      </c>
      <c r="W37" s="718">
        <f t="shared" si="12"/>
        <v>100</v>
      </c>
      <c r="X37" s="719"/>
      <c r="Y37" s="3534"/>
      <c r="Z37" s="720">
        <f t="shared" si="13"/>
        <v>111</v>
      </c>
      <c r="AA37" s="1488">
        <f t="shared" si="3"/>
        <v>1</v>
      </c>
      <c r="AB37" s="1488">
        <f t="shared" si="4"/>
        <v>1</v>
      </c>
      <c r="AC37" s="1488">
        <f t="shared" si="5"/>
        <v>1</v>
      </c>
    </row>
    <row r="38" spans="1:29" ht="15">
      <c r="A38" s="431" t="s">
        <v>2138</v>
      </c>
      <c r="B38" s="415" t="s">
        <v>2326</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534"/>
      <c r="Q38" s="1487" t="str">
        <f>B38</f>
        <v>宗地面积</v>
      </c>
      <c r="R38" s="714" t="s">
        <v>17</v>
      </c>
      <c r="S38" s="715" t="e">
        <f t="shared" si="10"/>
        <v>#N/A</v>
      </c>
      <c r="T38" s="714" t="s">
        <v>17</v>
      </c>
      <c r="U38" s="715" t="e">
        <f t="shared" si="11"/>
        <v>#N/A</v>
      </c>
      <c r="V38" s="714" t="s">
        <v>17</v>
      </c>
      <c r="W38" s="715" t="e">
        <f t="shared" si="12"/>
        <v>#N/A</v>
      </c>
      <c r="X38" s="1490"/>
      <c r="Y38" s="3534"/>
      <c r="Z38" s="1491" t="str">
        <f t="shared" si="13"/>
        <v>宗地面积</v>
      </c>
      <c r="AA38" s="1488" t="e">
        <f t="shared" si="3"/>
        <v>#N/A</v>
      </c>
      <c r="AB38" s="1488" t="e">
        <f t="shared" si="4"/>
        <v>#N/A</v>
      </c>
      <c r="AC38" s="1488" t="e">
        <f t="shared" si="5"/>
        <v>#N/A</v>
      </c>
    </row>
    <row r="39" spans="1:29" ht="15">
      <c r="A39" s="431"/>
      <c r="B39" s="381" t="s">
        <v>2327</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534"/>
      <c r="Q39" s="1487" t="str">
        <f t="shared" ref="Q39:Q45" si="14">B39</f>
        <v>宗地形状</v>
      </c>
      <c r="R39" s="714" t="s">
        <v>17</v>
      </c>
      <c r="S39" s="715">
        <f t="shared" si="10"/>
        <v>100</v>
      </c>
      <c r="T39" s="714" t="s">
        <v>17</v>
      </c>
      <c r="U39" s="715">
        <f t="shared" si="11"/>
        <v>100</v>
      </c>
      <c r="V39" s="714" t="s">
        <v>17</v>
      </c>
      <c r="W39" s="715">
        <f t="shared" si="12"/>
        <v>100</v>
      </c>
      <c r="X39" s="1490"/>
      <c r="Y39" s="3534"/>
      <c r="Z39" s="1491" t="str">
        <f t="shared" si="13"/>
        <v>宗地形状</v>
      </c>
      <c r="AA39" s="1488">
        <f t="shared" si="3"/>
        <v>1</v>
      </c>
      <c r="AB39" s="1488">
        <f t="shared" si="4"/>
        <v>1</v>
      </c>
      <c r="AC39" s="1488">
        <f t="shared" si="5"/>
        <v>1</v>
      </c>
    </row>
    <row r="40" spans="1:29" ht="15">
      <c r="A40" s="431"/>
      <c r="B40" s="381" t="s">
        <v>2328</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534"/>
      <c r="Q40" s="1487" t="str">
        <f t="shared" si="14"/>
        <v>临街宽度及深度</v>
      </c>
      <c r="R40" s="714" t="s">
        <v>17</v>
      </c>
      <c r="S40" s="715">
        <f t="shared" si="10"/>
        <v>100</v>
      </c>
      <c r="T40" s="714" t="s">
        <v>17</v>
      </c>
      <c r="U40" s="715">
        <f t="shared" si="11"/>
        <v>100</v>
      </c>
      <c r="V40" s="714" t="s">
        <v>17</v>
      </c>
      <c r="W40" s="715">
        <f t="shared" si="12"/>
        <v>100</v>
      </c>
      <c r="X40" s="1490"/>
      <c r="Y40" s="3534"/>
      <c r="Z40" s="1491" t="str">
        <f t="shared" si="13"/>
        <v>临街宽度及深度</v>
      </c>
      <c r="AA40" s="1488">
        <f t="shared" si="3"/>
        <v>1</v>
      </c>
      <c r="AB40" s="1488">
        <f t="shared" si="4"/>
        <v>1</v>
      </c>
      <c r="AC40" s="1488">
        <f t="shared" si="5"/>
        <v>1</v>
      </c>
    </row>
    <row r="41" spans="1:29" s="113" customFormat="1" ht="15">
      <c r="A41" s="432"/>
      <c r="B41" s="381" t="s">
        <v>2329</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534"/>
      <c r="Q41" s="1487" t="str">
        <f t="shared" si="14"/>
        <v>宗地开发程度</v>
      </c>
      <c r="R41" s="710" t="s">
        <v>17</v>
      </c>
      <c r="S41" s="711">
        <f t="shared" si="10"/>
        <v>100</v>
      </c>
      <c r="T41" s="710" t="s">
        <v>17</v>
      </c>
      <c r="U41" s="711">
        <f t="shared" si="11"/>
        <v>100</v>
      </c>
      <c r="V41" s="710" t="s">
        <v>17</v>
      </c>
      <c r="W41" s="711">
        <f t="shared" si="12"/>
        <v>100</v>
      </c>
      <c r="X41" s="712"/>
      <c r="Y41" s="3534"/>
      <c r="Z41" s="55" t="str">
        <f t="shared" si="13"/>
        <v>宗地开发程度</v>
      </c>
      <c r="AA41" s="713">
        <f t="shared" si="3"/>
        <v>1</v>
      </c>
      <c r="AB41" s="713">
        <f t="shared" si="4"/>
        <v>1</v>
      </c>
      <c r="AC41" s="713">
        <f t="shared" si="5"/>
        <v>1</v>
      </c>
    </row>
    <row r="42" spans="1:29" ht="15">
      <c r="A42" s="431"/>
      <c r="B42" s="381" t="s">
        <v>2330</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534" t="s">
        <v>2140</v>
      </c>
      <c r="Q42" s="1487" t="str">
        <f t="shared" si="14"/>
        <v>工程地质条件</v>
      </c>
      <c r="R42" s="714" t="s">
        <v>17</v>
      </c>
      <c r="S42" s="715">
        <f t="shared" si="10"/>
        <v>100</v>
      </c>
      <c r="T42" s="714" t="s">
        <v>17</v>
      </c>
      <c r="U42" s="715">
        <f t="shared" si="11"/>
        <v>100</v>
      </c>
      <c r="V42" s="714" t="s">
        <v>17</v>
      </c>
      <c r="W42" s="715">
        <f t="shared" si="12"/>
        <v>100</v>
      </c>
      <c r="X42" s="1490"/>
      <c r="Y42" s="3534" t="s">
        <v>2140</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534"/>
      <c r="Q43" s="1487">
        <f t="shared" si="14"/>
        <v>111</v>
      </c>
      <c r="R43" s="714" t="s">
        <v>17</v>
      </c>
      <c r="S43" s="715">
        <f t="shared" si="10"/>
        <v>100</v>
      </c>
      <c r="T43" s="714" t="s">
        <v>17</v>
      </c>
      <c r="U43" s="715">
        <f t="shared" si="11"/>
        <v>100</v>
      </c>
      <c r="V43" s="714" t="s">
        <v>17</v>
      </c>
      <c r="W43" s="715">
        <f t="shared" si="12"/>
        <v>100</v>
      </c>
      <c r="X43" s="1490"/>
      <c r="Y43" s="353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534"/>
      <c r="Q44" s="1487">
        <f t="shared" si="14"/>
        <v>111</v>
      </c>
      <c r="R44" s="714" t="s">
        <v>17</v>
      </c>
      <c r="S44" s="715">
        <f t="shared" si="10"/>
        <v>100</v>
      </c>
      <c r="T44" s="714" t="s">
        <v>17</v>
      </c>
      <c r="U44" s="715">
        <f t="shared" si="11"/>
        <v>100</v>
      </c>
      <c r="V44" s="714" t="s">
        <v>17</v>
      </c>
      <c r="W44" s="715">
        <f t="shared" si="12"/>
        <v>100</v>
      </c>
      <c r="X44" s="1490"/>
      <c r="Y44" s="3534"/>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534"/>
      <c r="Q45" s="1487">
        <f t="shared" si="14"/>
        <v>111</v>
      </c>
      <c r="R45" s="717" t="s">
        <v>17</v>
      </c>
      <c r="S45" s="718">
        <f t="shared" si="10"/>
        <v>100</v>
      </c>
      <c r="T45" s="717" t="s">
        <v>17</v>
      </c>
      <c r="U45" s="718">
        <f t="shared" si="11"/>
        <v>100</v>
      </c>
      <c r="V45" s="717" t="s">
        <v>17</v>
      </c>
      <c r="W45" s="718">
        <f t="shared" si="12"/>
        <v>100</v>
      </c>
      <c r="X45" s="719"/>
      <c r="Y45" s="3534"/>
      <c r="Z45" s="720">
        <f t="shared" si="13"/>
        <v>111</v>
      </c>
      <c r="AA45" s="1488">
        <f t="shared" si="3"/>
        <v>1</v>
      </c>
      <c r="AB45" s="1488">
        <f t="shared" si="4"/>
        <v>1</v>
      </c>
      <c r="AC45" s="1488">
        <f t="shared" si="5"/>
        <v>1</v>
      </c>
    </row>
    <row r="46" spans="1:29" ht="15">
      <c r="A46" s="438" t="s">
        <v>2295</v>
      </c>
      <c r="B46" s="2118" t="s">
        <v>2331</v>
      </c>
      <c r="C46" s="638" t="s">
        <v>1</v>
      </c>
      <c r="D46" s="440"/>
      <c r="E46" s="441"/>
      <c r="F46" s="442"/>
      <c r="G46" s="443"/>
      <c r="H46" s="444"/>
      <c r="I46" s="441"/>
      <c r="J46" s="444"/>
      <c r="K46" s="723"/>
      <c r="L46" s="2900"/>
      <c r="M46" s="2901"/>
      <c r="N46" s="2892"/>
      <c r="O46" s="2901"/>
      <c r="P46" s="3527" t="str">
        <f>A46</f>
        <v>成交单价</v>
      </c>
      <c r="Q46" s="3527"/>
      <c r="R46" s="3522">
        <f>E46</f>
        <v>0</v>
      </c>
      <c r="S46" s="3522"/>
      <c r="T46" s="3522">
        <f>G46</f>
        <v>0</v>
      </c>
      <c r="U46" s="3522"/>
      <c r="V46" s="3522">
        <f>I46</f>
        <v>0</v>
      </c>
      <c r="W46" s="3522"/>
      <c r="X46" s="699"/>
      <c r="Y46" s="721"/>
      <c r="Z46" s="699"/>
      <c r="AA46" s="699"/>
      <c r="AB46" s="699"/>
      <c r="AC46" s="699"/>
    </row>
    <row r="47" spans="1:29" ht="15.75" thickBot="1">
      <c r="A47" s="445" t="s">
        <v>2244</v>
      </c>
      <c r="B47" s="639"/>
      <c r="C47" s="448" t="e">
        <f>R48</f>
        <v>#DIV/0!</v>
      </c>
      <c r="D47" s="2488" t="s">
        <v>2634</v>
      </c>
      <c r="E47" s="448" t="e">
        <f>R47</f>
        <v>#DIV/0!</v>
      </c>
      <c r="F47" s="2489"/>
      <c r="G47" s="447" t="e">
        <f>T47</f>
        <v>#DIV/0!</v>
      </c>
      <c r="H47" s="2489"/>
      <c r="I47" s="448" t="e">
        <f>V47</f>
        <v>#DIV/0!</v>
      </c>
      <c r="J47" s="2489"/>
      <c r="K47" s="2491">
        <f>F47+H47+J47</f>
        <v>0</v>
      </c>
      <c r="L47" s="2900"/>
      <c r="M47" s="2901"/>
      <c r="N47" s="2901"/>
      <c r="O47" s="2901"/>
      <c r="P47" s="3527" t="str">
        <f>A47</f>
        <v>比较价值（元/平方米）</v>
      </c>
      <c r="Q47" s="3527"/>
      <c r="R47" s="3555" t="e">
        <f>ROUND(PRODUCT(R46,AA7:AA45),0)</f>
        <v>#DIV/0!</v>
      </c>
      <c r="S47" s="3555"/>
      <c r="T47" s="3555" t="e">
        <f>ROUND(PRODUCT(T46,AB7:AB45),0)</f>
        <v>#DIV/0!</v>
      </c>
      <c r="U47" s="3555"/>
      <c r="V47" s="3555" t="e">
        <f>ROUND(PRODUCT(V46,AC7:AC45),0)</f>
        <v>#DIV/0!</v>
      </c>
      <c r="W47" s="3555"/>
      <c r="X47" s="699"/>
      <c r="Y47" s="699"/>
      <c r="Z47" s="699"/>
      <c r="AA47" s="699"/>
      <c r="AB47" s="699"/>
      <c r="AC47" s="699"/>
    </row>
    <row r="48" spans="1:29" ht="15.75" thickBot="1">
      <c r="A48" s="449" t="s">
        <v>2332</v>
      </c>
      <c r="B48" s="450"/>
      <c r="C48" s="451" t="e">
        <f>R48</f>
        <v>#DIV/0!</v>
      </c>
      <c r="D48" s="451"/>
      <c r="E48" s="451"/>
      <c r="F48" s="451"/>
      <c r="G48" s="451"/>
      <c r="H48" s="451"/>
      <c r="I48" s="451"/>
      <c r="J48" s="451"/>
      <c r="K48" s="724"/>
      <c r="L48" s="2900"/>
      <c r="M48" s="2901"/>
      <c r="N48" s="2901"/>
      <c r="O48" s="2901"/>
      <c r="P48" s="3524" t="str">
        <f>A48</f>
        <v>估价对象XX用房的比较价值（楼面单价，元/平方米）</v>
      </c>
      <c r="Q48" s="3525"/>
      <c r="R48" s="3556" t="e">
        <f>ROUND(IF(D47="简单平均",AVERAGE(R47:W47),R47*F47+T47*H47+V47*J47),0)</f>
        <v>#DIV/0!</v>
      </c>
      <c r="S48" s="3556"/>
      <c r="T48" s="3556"/>
      <c r="U48" s="3556"/>
      <c r="V48" s="3556"/>
      <c r="W48" s="3556"/>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2246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2247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2248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2333</v>
      </c>
      <c r="B55" s="641" t="s">
        <v>2334</v>
      </c>
      <c r="C55" s="2119" t="s">
        <v>2335</v>
      </c>
      <c r="D55" s="2120" t="s">
        <v>2336</v>
      </c>
      <c r="E55" s="642" t="s">
        <v>2337</v>
      </c>
      <c r="F55" s="1002" t="s">
        <v>2338</v>
      </c>
      <c r="G55" s="3510" t="s">
        <v>2339</v>
      </c>
      <c r="H55" s="3557"/>
      <c r="I55" s="140" t="s">
        <v>2340</v>
      </c>
      <c r="J55" s="2121">
        <f>项目基本情况!F35</f>
        <v>0</v>
      </c>
      <c r="K55" s="2122" t="s">
        <v>2341</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2342</v>
      </c>
      <c r="B56" s="645" t="e">
        <f>C48</f>
        <v>#DIV/0!</v>
      </c>
      <c r="C56" s="646">
        <v>1</v>
      </c>
      <c r="D56" s="1056">
        <v>1</v>
      </c>
      <c r="E56" s="646">
        <f>'数据-汇总表'!E8+'数据-汇总表'!E9</f>
        <v>45126.799999999996</v>
      </c>
      <c r="F56" s="998" t="e">
        <f t="shared" ref="F56:F64" si="15">ROUND(B56*E56/10000,0)</f>
        <v>#DIV/0!</v>
      </c>
      <c r="G56" s="3509"/>
      <c r="H56" s="3527"/>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2343</v>
      </c>
      <c r="B57" s="224" t="e">
        <f>ROUND($C$48*C57*D57,0)</f>
        <v>#DIV/0!</v>
      </c>
      <c r="C57" s="176">
        <f t="shared" ref="C57:C64" si="16">IF($C$55="北京市系数",I57,J57)</f>
        <v>0.7</v>
      </c>
      <c r="D57" s="1057">
        <v>0.25</v>
      </c>
      <c r="E57" s="650"/>
      <c r="F57" s="998" t="e">
        <f t="shared" si="15"/>
        <v>#DIV/0!</v>
      </c>
      <c r="G57" s="3225" t="s">
        <v>2344</v>
      </c>
      <c r="H57" s="999" t="str">
        <f>项目基本情况!B37</f>
        <v>二级</v>
      </c>
      <c r="I57" s="1003">
        <f>SUMIF(修正!A57:A68,H57,修正!B57:B68)</f>
        <v>0.7</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2345</v>
      </c>
      <c r="B58" s="224" t="e">
        <f t="shared" ref="B58:B64" si="17">ROUND($C$48*C58*D58,0)</f>
        <v>#DIV/0!</v>
      </c>
      <c r="C58" s="176">
        <f t="shared" si="16"/>
        <v>0.4</v>
      </c>
      <c r="D58" s="1057">
        <v>0.25</v>
      </c>
      <c r="E58" s="650"/>
      <c r="F58" s="998" t="e">
        <f t="shared" si="15"/>
        <v>#DIV/0!</v>
      </c>
      <c r="G58" s="3226"/>
      <c r="H58" s="999" t="str">
        <f>项目基本情况!B37</f>
        <v>二级</v>
      </c>
      <c r="I58" s="1003">
        <f>SUMIF(修正!A57:A68,H58,修正!C57:C68)</f>
        <v>0.4</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2346</v>
      </c>
      <c r="B59" s="224" t="e">
        <f t="shared" si="17"/>
        <v>#DIV/0!</v>
      </c>
      <c r="C59" s="176">
        <f t="shared" si="16"/>
        <v>0.3</v>
      </c>
      <c r="D59" s="1057">
        <v>0.25</v>
      </c>
      <c r="E59" s="650"/>
      <c r="F59" s="998" t="e">
        <f t="shared" si="15"/>
        <v>#DIV/0!</v>
      </c>
      <c r="G59" s="3226"/>
      <c r="H59" s="999" t="str">
        <f>项目基本情况!B37</f>
        <v>二级</v>
      </c>
      <c r="I59" s="1003">
        <f>SUMIF(修正!A57:A68,H59,修正!D57:D68)</f>
        <v>0.3</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2347</v>
      </c>
      <c r="B60" s="224" t="e">
        <f t="shared" si="17"/>
        <v>#DIV/0!</v>
      </c>
      <c r="C60" s="176">
        <f t="shared" si="16"/>
        <v>0</v>
      </c>
      <c r="D60" s="1057">
        <v>0.25</v>
      </c>
      <c r="E60" s="223">
        <f>'数据-汇总表'!E11</f>
        <v>0</v>
      </c>
      <c r="F60" s="998" t="e">
        <f t="shared" si="15"/>
        <v>#DIV/0!</v>
      </c>
      <c r="G60" s="2123" t="s">
        <v>2348</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2349</v>
      </c>
      <c r="B61" s="224" t="e">
        <f t="shared" si="17"/>
        <v>#DIV/0!</v>
      </c>
      <c r="C61" s="176">
        <f t="shared" si="16"/>
        <v>0</v>
      </c>
      <c r="D61" s="1057">
        <v>0.25</v>
      </c>
      <c r="E61" s="223">
        <f>'数据-汇总表'!E12</f>
        <v>0</v>
      </c>
      <c r="F61" s="998" t="e">
        <f t="shared" si="15"/>
        <v>#DIV/0!</v>
      </c>
      <c r="G61" s="1004" t="s">
        <v>2350</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2351</v>
      </c>
      <c r="B62" s="224" t="e">
        <f t="shared" si="17"/>
        <v>#DIV/0!</v>
      </c>
      <c r="C62" s="176">
        <f t="shared" si="16"/>
        <v>0</v>
      </c>
      <c r="D62" s="1057">
        <v>0.25</v>
      </c>
      <c r="E62" s="223">
        <f>'数据-汇总表'!E13</f>
        <v>0</v>
      </c>
      <c r="F62" s="998" t="e">
        <f t="shared" si="15"/>
        <v>#DIV/0!</v>
      </c>
      <c r="G62" s="1004" t="s">
        <v>2352</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2353</v>
      </c>
      <c r="B63" s="224" t="e">
        <f t="shared" si="17"/>
        <v>#DIV/0!</v>
      </c>
      <c r="C63" s="176">
        <f t="shared" si="16"/>
        <v>0.2</v>
      </c>
      <c r="D63" s="1057">
        <v>0.25</v>
      </c>
      <c r="E63" s="223">
        <f>'数据-汇总表'!E14</f>
        <v>0</v>
      </c>
      <c r="F63" s="998" t="e">
        <f t="shared" si="15"/>
        <v>#DIV/0!</v>
      </c>
      <c r="G63" s="2123" t="s">
        <v>2344</v>
      </c>
      <c r="H63" s="999" t="str">
        <f>项目基本情况!B37</f>
        <v>二级</v>
      </c>
      <c r="I63" s="1003">
        <f>SUMIF(修正!A57:A68,H63,修正!G57:G68)</f>
        <v>0.2</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2354</v>
      </c>
      <c r="B64" s="224" t="e">
        <f t="shared" si="17"/>
        <v>#DIV/0!</v>
      </c>
      <c r="C64" s="176">
        <f t="shared" si="16"/>
        <v>0</v>
      </c>
      <c r="D64" s="1057">
        <v>0.25</v>
      </c>
      <c r="E64" s="223">
        <f>'数据-汇总表'!E15</f>
        <v>0</v>
      </c>
      <c r="F64" s="998" t="e">
        <f t="shared" si="15"/>
        <v>#DIV/0!</v>
      </c>
      <c r="G64" s="2124" t="s">
        <v>2348</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2355</v>
      </c>
      <c r="B65" s="652" t="s">
        <v>28</v>
      </c>
      <c r="C65" s="652" t="s">
        <v>29</v>
      </c>
      <c r="D65" s="652" t="s">
        <v>816</v>
      </c>
      <c r="E65" s="652">
        <f>IF(B46="楼面地价",SUM(E56:E64),'数据-汇总表'!D3)</f>
        <v>45126.799999999996</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1"/>
      <c r="Q67" s="2901"/>
      <c r="R67" s="2901"/>
      <c r="S67" s="2901"/>
      <c r="T67" s="2901"/>
      <c r="U67" s="2901"/>
      <c r="V67" s="2901"/>
      <c r="W67" s="2901"/>
      <c r="X67" s="2901"/>
      <c r="Y67" s="2901"/>
      <c r="Z67" s="2901"/>
      <c r="AA67" s="2901"/>
      <c r="AB67" s="2901"/>
      <c r="AC67" s="2901"/>
    </row>
    <row r="68" spans="1:29" ht="21.75" thickBot="1">
      <c r="A68" s="703" t="s">
        <v>2249</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5" t="s">
        <v>2356</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2"/>
      <c r="Q69" s="2917"/>
      <c r="R69" s="2917"/>
      <c r="S69" s="2917"/>
      <c r="T69" s="2917"/>
      <c r="U69" s="2917"/>
      <c r="V69" s="2917"/>
      <c r="W69" s="2917"/>
      <c r="X69" s="2917"/>
      <c r="Y69" s="2917"/>
      <c r="Z69" s="2917"/>
      <c r="AA69" s="2917"/>
      <c r="AB69" s="2917"/>
      <c r="AC69" s="2917"/>
    </row>
    <row r="70" spans="1:29" s="113" customFormat="1" ht="30" customHeight="1">
      <c r="A70" s="2126" t="s">
        <v>2357</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2160</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2125</v>
      </c>
      <c r="B72" s="467"/>
      <c r="C72" s="479" t="s">
        <v>2227</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2163</v>
      </c>
      <c r="B74" s="485" t="s">
        <v>2129</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2132</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2133</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2134</v>
      </c>
      <c r="B87" s="485" t="s">
        <v>2171</v>
      </c>
      <c r="C87" s="530" t="s">
        <v>2172</v>
      </c>
      <c r="D87" s="530" t="s">
        <v>2173</v>
      </c>
      <c r="E87" s="530" t="s">
        <v>2174</v>
      </c>
      <c r="F87" s="530" t="s">
        <v>2175</v>
      </c>
      <c r="G87" s="530" t="s">
        <v>2176</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2358</v>
      </c>
      <c r="C89" s="535" t="s">
        <v>2172</v>
      </c>
      <c r="D89" s="535" t="s">
        <v>2173</v>
      </c>
      <c r="E89" s="535" t="s">
        <v>2174</v>
      </c>
      <c r="F89" s="535" t="s">
        <v>2175</v>
      </c>
      <c r="G89" s="535" t="s">
        <v>2176</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2272</v>
      </c>
      <c r="C91" s="535" t="s">
        <v>2172</v>
      </c>
      <c r="D91" s="535" t="s">
        <v>2173</v>
      </c>
      <c r="E91" s="535" t="s">
        <v>2174</v>
      </c>
      <c r="F91" s="535" t="s">
        <v>2175</v>
      </c>
      <c r="G91" s="535" t="s">
        <v>2176</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2177</v>
      </c>
      <c r="C93" s="535" t="s">
        <v>2172</v>
      </c>
      <c r="D93" s="535" t="s">
        <v>2173</v>
      </c>
      <c r="E93" s="535" t="s">
        <v>2174</v>
      </c>
      <c r="F93" s="535" t="s">
        <v>2175</v>
      </c>
      <c r="G93" s="535" t="s">
        <v>2176</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2359</v>
      </c>
      <c r="C95" s="535" t="s">
        <v>2172</v>
      </c>
      <c r="D95" s="535" t="s">
        <v>2173</v>
      </c>
      <c r="E95" s="535" t="s">
        <v>2174</v>
      </c>
      <c r="F95" s="535" t="s">
        <v>2175</v>
      </c>
      <c r="G95" s="535" t="s">
        <v>2176</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2360</v>
      </c>
      <c r="C97" s="530" t="s">
        <v>2172</v>
      </c>
      <c r="D97" s="530" t="s">
        <v>2173</v>
      </c>
      <c r="E97" s="530" t="s">
        <v>2174</v>
      </c>
      <c r="F97" s="530" t="s">
        <v>2175</v>
      </c>
      <c r="G97" s="530" t="s">
        <v>2176</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2229</v>
      </c>
      <c r="C99" s="530" t="s">
        <v>2172</v>
      </c>
      <c r="D99" s="530" t="s">
        <v>2173</v>
      </c>
      <c r="E99" s="530" t="s">
        <v>2174</v>
      </c>
      <c r="F99" s="530" t="s">
        <v>2175</v>
      </c>
      <c r="G99" s="530" t="s">
        <v>2176</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2230</v>
      </c>
      <c r="C101" s="616" t="s">
        <v>2250</v>
      </c>
      <c r="D101" s="616" t="s">
        <v>2251</v>
      </c>
      <c r="E101" s="616" t="s">
        <v>2252</v>
      </c>
      <c r="F101" s="616" t="s">
        <v>2253</v>
      </c>
      <c r="G101" s="616" t="s">
        <v>2254</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2266</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2325</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2138</v>
      </c>
      <c r="B115" s="485" t="s">
        <v>2365</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2366</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2367</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2368</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2369</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 sqref="C1:S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2319</v>
      </c>
      <c r="B1" s="355"/>
      <c r="C1" s="356" t="s">
        <v>2370</v>
      </c>
      <c r="D1" s="695"/>
      <c r="E1" s="695"/>
      <c r="F1" s="694" t="s">
        <v>2218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1903</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1905</v>
      </c>
      <c r="B3" s="566" t="e">
        <f>ROUND(IF(D3="",B2*10000/'数据-汇总表'!E3,B2*10000/D3),0)</f>
        <v>#DIV/0!</v>
      </c>
      <c r="C3" s="209" t="s">
        <v>2321</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2220</v>
      </c>
      <c r="B4" s="362"/>
      <c r="C4" s="3510" t="s">
        <v>2221</v>
      </c>
      <c r="D4" s="3511"/>
      <c r="E4" s="3512" t="s">
        <v>2222</v>
      </c>
      <c r="F4" s="3513"/>
      <c r="G4" s="3510" t="s">
        <v>2223</v>
      </c>
      <c r="H4" s="3511"/>
      <c r="I4" s="3510" t="s">
        <v>2224</v>
      </c>
      <c r="J4" s="3511"/>
      <c r="K4" s="567" t="s">
        <v>2225</v>
      </c>
      <c r="L4" s="2891"/>
      <c r="M4" s="2892"/>
      <c r="N4" s="2892"/>
      <c r="O4" s="2892"/>
      <c r="P4" s="3514" t="s">
        <v>2226</v>
      </c>
      <c r="Q4" s="3515"/>
      <c r="R4" s="3497" t="s">
        <v>2222</v>
      </c>
      <c r="S4" s="3498"/>
      <c r="T4" s="3497" t="s">
        <v>2223</v>
      </c>
      <c r="U4" s="3498"/>
      <c r="V4" s="3522" t="s">
        <v>2224</v>
      </c>
      <c r="W4" s="3522"/>
      <c r="X4" s="1490"/>
      <c r="Y4" s="3497" t="s">
        <v>2226</v>
      </c>
      <c r="Z4" s="3498"/>
      <c r="AA4" s="3492" t="s">
        <v>2222</v>
      </c>
      <c r="AB4" s="3493" t="s">
        <v>2223</v>
      </c>
      <c r="AC4" s="3492" t="s">
        <v>2224</v>
      </c>
    </row>
    <row r="5" spans="1:29" ht="15">
      <c r="A5" s="364"/>
      <c r="B5" s="365"/>
      <c r="C5" s="3503" t="s">
        <v>2117</v>
      </c>
      <c r="D5" s="3504"/>
      <c r="E5" s="3501" t="s">
        <v>2118</v>
      </c>
      <c r="F5" s="3502"/>
      <c r="G5" s="3503" t="s">
        <v>2119</v>
      </c>
      <c r="H5" s="3504"/>
      <c r="I5" s="3503" t="s">
        <v>2120</v>
      </c>
      <c r="J5" s="3504"/>
      <c r="K5" s="567"/>
      <c r="L5" s="2891"/>
      <c r="M5" s="2892"/>
      <c r="N5" s="2892"/>
      <c r="O5" s="2892"/>
      <c r="P5" s="3516"/>
      <c r="Q5" s="3517"/>
      <c r="R5" s="3499"/>
      <c r="S5" s="3500"/>
      <c r="T5" s="3499"/>
      <c r="U5" s="3500"/>
      <c r="V5" s="3522"/>
      <c r="W5" s="3522"/>
      <c r="X5" s="1490"/>
      <c r="Y5" s="3499"/>
      <c r="Z5" s="3500"/>
      <c r="AA5" s="3493"/>
      <c r="AB5" s="3493"/>
      <c r="AC5" s="3493"/>
    </row>
    <row r="6" spans="1:29" ht="15.75" thickBot="1">
      <c r="A6" s="366"/>
      <c r="B6" s="367"/>
      <c r="C6" s="3558" t="s">
        <v>2371</v>
      </c>
      <c r="D6" s="3559"/>
      <c r="E6" s="3560" t="s">
        <v>2371</v>
      </c>
      <c r="F6" s="3561"/>
      <c r="G6" s="3558" t="s">
        <v>2371</v>
      </c>
      <c r="H6" s="3559"/>
      <c r="I6" s="3558" t="s">
        <v>2371</v>
      </c>
      <c r="J6" s="3559"/>
      <c r="K6" s="567" t="s">
        <v>2122</v>
      </c>
      <c r="L6" s="2891"/>
      <c r="M6" s="2892"/>
      <c r="N6" s="2892"/>
      <c r="O6" s="2892"/>
      <c r="P6" s="3518"/>
      <c r="Q6" s="3519"/>
      <c r="R6" s="3499"/>
      <c r="S6" s="3500"/>
      <c r="T6" s="3520"/>
      <c r="U6" s="3521"/>
      <c r="V6" s="3522"/>
      <c r="W6" s="3522"/>
      <c r="X6" s="1490"/>
      <c r="Y6" s="3520"/>
      <c r="Z6" s="3521"/>
      <c r="AA6" s="3494"/>
      <c r="AB6" s="3494"/>
      <c r="AC6" s="3494"/>
    </row>
    <row r="7" spans="1:29" s="113" customFormat="1" ht="15.75" thickBot="1">
      <c r="A7" s="368" t="s">
        <v>2123</v>
      </c>
      <c r="B7" s="369"/>
      <c r="C7" s="370">
        <f>'数据-取费表'!B2</f>
        <v>44742</v>
      </c>
      <c r="D7" s="371">
        <v>100</v>
      </c>
      <c r="E7" s="372"/>
      <c r="F7" s="373">
        <f>SUMIF(65:65,YEAR(E7)&amp;"-"&amp;INT((MONTH(E7)+2)/3),66:66)</f>
        <v>0</v>
      </c>
      <c r="G7" s="2110"/>
      <c r="H7" s="371">
        <f>SUMIF(65:65,YEAR(G7)&amp;"-"&amp;INT((MONTH(G7)+2)/3),66:66)</f>
        <v>0</v>
      </c>
      <c r="I7" s="2110"/>
      <c r="J7" s="371">
        <f>SUMIF(65:65,YEAR(I7)&amp;"-"&amp;INT((MONTH(I7)+2)/3),66:66)</f>
        <v>0</v>
      </c>
      <c r="K7" s="568"/>
      <c r="L7" s="2893"/>
      <c r="M7" s="2894"/>
      <c r="N7" s="2894"/>
      <c r="O7" s="2894"/>
      <c r="P7" s="3495" t="s">
        <v>2124</v>
      </c>
      <c r="Q7" s="3523"/>
      <c r="R7" s="710" t="s">
        <v>17</v>
      </c>
      <c r="S7" s="711">
        <f t="shared" ref="S7:S15" si="0">F7</f>
        <v>0</v>
      </c>
      <c r="T7" s="710" t="s">
        <v>17</v>
      </c>
      <c r="U7" s="711">
        <f t="shared" ref="U7:U15" si="1">H7</f>
        <v>0</v>
      </c>
      <c r="V7" s="710" t="s">
        <v>17</v>
      </c>
      <c r="W7" s="711">
        <f t="shared" ref="W7:W15" si="2">J7</f>
        <v>0</v>
      </c>
      <c r="X7" s="712"/>
      <c r="Y7" s="3495" t="s">
        <v>2124</v>
      </c>
      <c r="Z7" s="3496"/>
      <c r="AA7" s="713" t="e">
        <f>D7/F7</f>
        <v>#DIV/0!</v>
      </c>
      <c r="AB7" s="713" t="e">
        <f>D7/H7</f>
        <v>#DIV/0!</v>
      </c>
      <c r="AC7" s="713" t="e">
        <f>D7/J7</f>
        <v>#DIV/0!</v>
      </c>
    </row>
    <row r="8" spans="1:29" s="113" customFormat="1" ht="15.75" thickBot="1">
      <c r="A8" s="368" t="s">
        <v>2125</v>
      </c>
      <c r="B8" s="369"/>
      <c r="C8" s="374" t="s">
        <v>2126</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495" t="s">
        <v>2127</v>
      </c>
      <c r="Q8" s="3496"/>
      <c r="R8" s="710" t="s">
        <v>17</v>
      </c>
      <c r="S8" s="711">
        <f t="shared" si="0"/>
        <v>0</v>
      </c>
      <c r="T8" s="710" t="s">
        <v>17</v>
      </c>
      <c r="U8" s="711">
        <f t="shared" si="1"/>
        <v>0</v>
      </c>
      <c r="V8" s="710" t="s">
        <v>17</v>
      </c>
      <c r="W8" s="711">
        <f t="shared" si="2"/>
        <v>0</v>
      </c>
      <c r="X8" s="712"/>
      <c r="Y8" s="3495" t="s">
        <v>2127</v>
      </c>
      <c r="Z8" s="3496"/>
      <c r="AA8" s="713" t="e">
        <f t="shared" ref="AA8:AA40" si="3">D8/F8</f>
        <v>#DIV/0!</v>
      </c>
      <c r="AB8" s="713" t="e">
        <f t="shared" ref="AB8:AB40" si="4">D8/H8</f>
        <v>#DIV/0!</v>
      </c>
      <c r="AC8" s="713" t="e">
        <f t="shared" ref="AC8:AC40" si="5">D8/J8</f>
        <v>#DIV/0!</v>
      </c>
    </row>
    <row r="9" spans="1:29" s="113" customFormat="1">
      <c r="A9" s="375" t="s">
        <v>2128</v>
      </c>
      <c r="B9" s="67" t="s">
        <v>2129</v>
      </c>
      <c r="C9" s="2113"/>
      <c r="D9" s="131">
        <v>100</v>
      </c>
      <c r="E9" s="2113"/>
      <c r="F9" s="131">
        <f>SUMIF(70:70,E9,71:71)-SUMIF(70:70,C9,71:71)+100</f>
        <v>100</v>
      </c>
      <c r="G9" s="2113"/>
      <c r="H9" s="131">
        <f>SUMIF(70:70,G9,71:71)-SUMIF(70:70,C9,71:71)+100</f>
        <v>100</v>
      </c>
      <c r="I9" s="2113"/>
      <c r="J9" s="131">
        <f>SUMIF(70:70,I9,71:71)-SUMIF(70:70,C9,71:71)+100</f>
        <v>100</v>
      </c>
      <c r="K9" s="568"/>
      <c r="L9" s="2893"/>
      <c r="M9" s="2894"/>
      <c r="N9" s="2894"/>
      <c r="O9" s="2948"/>
      <c r="P9" s="3527" t="s">
        <v>2130</v>
      </c>
      <c r="Q9" s="1478" t="str">
        <f t="shared" ref="Q9:Q15" si="6">B9</f>
        <v>用途</v>
      </c>
      <c r="R9" s="710" t="s">
        <v>17</v>
      </c>
      <c r="S9" s="711">
        <f t="shared" si="0"/>
        <v>100</v>
      </c>
      <c r="T9" s="710" t="s">
        <v>17</v>
      </c>
      <c r="U9" s="711">
        <f t="shared" si="1"/>
        <v>100</v>
      </c>
      <c r="V9" s="710" t="s">
        <v>17</v>
      </c>
      <c r="W9" s="711">
        <f t="shared" si="2"/>
        <v>100</v>
      </c>
      <c r="X9" s="712"/>
      <c r="Y9" s="3439" t="s">
        <v>2131</v>
      </c>
      <c r="Z9" s="55" t="str">
        <f t="shared" ref="Z9:Z15" si="7">Q9</f>
        <v>用途</v>
      </c>
      <c r="AA9" s="713">
        <f t="shared" si="3"/>
        <v>1</v>
      </c>
      <c r="AB9" s="713">
        <f t="shared" si="4"/>
        <v>1</v>
      </c>
      <c r="AC9" s="713">
        <f t="shared" si="5"/>
        <v>1</v>
      </c>
    </row>
    <row r="10" spans="1:29" s="386" customFormat="1" ht="27">
      <c r="A10" s="380"/>
      <c r="B10" s="381" t="s">
        <v>2132</v>
      </c>
      <c r="C10" s="391"/>
      <c r="D10" s="132">
        <v>100</v>
      </c>
      <c r="E10" s="391"/>
      <c r="F10" s="132">
        <f>ROUND(100/'数据-取费表'!G16,0)</f>
        <v>109</v>
      </c>
      <c r="G10" s="391"/>
      <c r="H10" s="132">
        <f>ROUND(100/'数据-取费表'!G16,0)</f>
        <v>109</v>
      </c>
      <c r="I10" s="391"/>
      <c r="J10" s="132">
        <f>ROUND(100/'数据-取费表'!G16,0)</f>
        <v>109</v>
      </c>
      <c r="K10" s="628"/>
      <c r="L10" s="2895"/>
      <c r="M10" s="2896"/>
      <c r="N10" s="2896"/>
      <c r="O10" s="2949"/>
      <c r="P10" s="3527"/>
      <c r="Q10" s="1478" t="str">
        <f t="shared" si="6"/>
        <v>土地使用年限（年）</v>
      </c>
      <c r="R10" s="710" t="s">
        <v>17</v>
      </c>
      <c r="S10" s="711">
        <f t="shared" si="0"/>
        <v>109</v>
      </c>
      <c r="T10" s="710" t="s">
        <v>17</v>
      </c>
      <c r="U10" s="711">
        <f t="shared" si="1"/>
        <v>109</v>
      </c>
      <c r="V10" s="710" t="s">
        <v>17</v>
      </c>
      <c r="W10" s="711">
        <f t="shared" si="2"/>
        <v>109</v>
      </c>
      <c r="X10" s="712"/>
      <c r="Y10" s="3439"/>
      <c r="Z10" s="55" t="str">
        <f t="shared" si="7"/>
        <v>土地使用年限（年）</v>
      </c>
      <c r="AA10" s="713">
        <f t="shared" si="3"/>
        <v>0.91743119266055051</v>
      </c>
      <c r="AB10" s="713">
        <f t="shared" si="4"/>
        <v>0.91743119266055051</v>
      </c>
      <c r="AC10" s="713">
        <f t="shared" si="5"/>
        <v>0.91743119266055051</v>
      </c>
    </row>
    <row r="11" spans="1:29" ht="15">
      <c r="A11" s="387"/>
      <c r="B11" s="381" t="s">
        <v>2133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527"/>
      <c r="Q11" s="1478" t="str">
        <f t="shared" si="6"/>
        <v>容积率</v>
      </c>
      <c r="R11" s="710" t="s">
        <v>17</v>
      </c>
      <c r="S11" s="711" t="e">
        <f t="shared" si="0"/>
        <v>#N/A</v>
      </c>
      <c r="T11" s="710" t="s">
        <v>17</v>
      </c>
      <c r="U11" s="711" t="e">
        <f t="shared" si="1"/>
        <v>#N/A</v>
      </c>
      <c r="V11" s="710" t="s">
        <v>17</v>
      </c>
      <c r="W11" s="711" t="e">
        <f t="shared" si="2"/>
        <v>#N/A</v>
      </c>
      <c r="X11" s="712"/>
      <c r="Y11" s="3439"/>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527"/>
      <c r="Q12" s="1478">
        <f t="shared" si="6"/>
        <v>111</v>
      </c>
      <c r="R12" s="710" t="s">
        <v>17</v>
      </c>
      <c r="S12" s="711">
        <f t="shared" si="0"/>
        <v>100</v>
      </c>
      <c r="T12" s="710" t="s">
        <v>17</v>
      </c>
      <c r="U12" s="711">
        <f t="shared" si="1"/>
        <v>100</v>
      </c>
      <c r="V12" s="710" t="s">
        <v>17</v>
      </c>
      <c r="W12" s="711">
        <f t="shared" si="2"/>
        <v>100</v>
      </c>
      <c r="X12" s="712"/>
      <c r="Y12" s="3439"/>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527"/>
      <c r="Q13" s="1478">
        <f t="shared" si="6"/>
        <v>111</v>
      </c>
      <c r="R13" s="710" t="s">
        <v>17</v>
      </c>
      <c r="S13" s="711">
        <f t="shared" si="0"/>
        <v>100</v>
      </c>
      <c r="T13" s="710" t="s">
        <v>17</v>
      </c>
      <c r="U13" s="711">
        <f t="shared" si="1"/>
        <v>100</v>
      </c>
      <c r="V13" s="710" t="s">
        <v>17</v>
      </c>
      <c r="W13" s="711">
        <f t="shared" si="2"/>
        <v>100</v>
      </c>
      <c r="X13" s="712"/>
      <c r="Y13" s="3439"/>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527"/>
      <c r="Q14" s="1478">
        <f t="shared" si="6"/>
        <v>111</v>
      </c>
      <c r="R14" s="710" t="s">
        <v>17</v>
      </c>
      <c r="S14" s="711">
        <f t="shared" si="0"/>
        <v>100</v>
      </c>
      <c r="T14" s="710" t="s">
        <v>17</v>
      </c>
      <c r="U14" s="711">
        <f t="shared" si="1"/>
        <v>100</v>
      </c>
      <c r="V14" s="710" t="s">
        <v>17</v>
      </c>
      <c r="W14" s="711">
        <f t="shared" si="2"/>
        <v>100</v>
      </c>
      <c r="X14" s="712"/>
      <c r="Y14" s="3439"/>
      <c r="Z14" s="55">
        <f t="shared" si="7"/>
        <v>111</v>
      </c>
      <c r="AA14" s="713">
        <f t="shared" si="3"/>
        <v>1</v>
      </c>
      <c r="AB14" s="713">
        <f t="shared" si="4"/>
        <v>1</v>
      </c>
      <c r="AC14" s="713">
        <f t="shared" si="5"/>
        <v>1</v>
      </c>
    </row>
    <row r="15" spans="1:29" ht="15">
      <c r="A15" s="399" t="s">
        <v>2134</v>
      </c>
      <c r="B15" s="585" t="s">
        <v>2372</v>
      </c>
      <c r="C15" s="2107">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529" t="s">
        <v>2135</v>
      </c>
      <c r="Q15" s="1487" t="str">
        <f t="shared" si="6"/>
        <v>产业集聚程度</v>
      </c>
      <c r="R15" s="714" t="s">
        <v>17</v>
      </c>
      <c r="S15" s="715">
        <f t="shared" si="0"/>
        <v>100</v>
      </c>
      <c r="T15" s="714" t="s">
        <v>17</v>
      </c>
      <c r="U15" s="715">
        <f t="shared" si="1"/>
        <v>100</v>
      </c>
      <c r="V15" s="714" t="s">
        <v>17</v>
      </c>
      <c r="W15" s="715">
        <f t="shared" si="2"/>
        <v>100</v>
      </c>
      <c r="X15" s="1490"/>
      <c r="Y15" s="3529" t="s">
        <v>2135</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8"/>
      <c r="M16" s="2892"/>
      <c r="N16" s="2892"/>
      <c r="O16" s="2950"/>
      <c r="P16" s="3530"/>
      <c r="Q16" s="1487"/>
      <c r="R16" s="714"/>
      <c r="S16" s="715"/>
      <c r="T16" s="714"/>
      <c r="U16" s="715"/>
      <c r="V16" s="714"/>
      <c r="W16" s="715"/>
      <c r="X16" s="1490"/>
      <c r="Y16" s="3530"/>
      <c r="Z16" s="1491"/>
      <c r="AA16" s="1488">
        <v>1</v>
      </c>
      <c r="AB16" s="1488">
        <v>1</v>
      </c>
      <c r="AC16" s="1488">
        <v>1</v>
      </c>
    </row>
    <row r="17" spans="1:29" ht="15">
      <c r="A17" s="387"/>
      <c r="B17" s="587" t="s">
        <v>2284</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530"/>
      <c r="Q17" s="1487" t="str">
        <f>B17</f>
        <v>交通便捷度</v>
      </c>
      <c r="R17" s="714" t="s">
        <v>17</v>
      </c>
      <c r="S17" s="715">
        <f>F17</f>
        <v>100</v>
      </c>
      <c r="T17" s="714" t="s">
        <v>17</v>
      </c>
      <c r="U17" s="715">
        <f>H17</f>
        <v>100</v>
      </c>
      <c r="V17" s="714" t="s">
        <v>17</v>
      </c>
      <c r="W17" s="715">
        <f>J17</f>
        <v>100</v>
      </c>
      <c r="X17" s="1490"/>
      <c r="Y17" s="3530"/>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8"/>
      <c r="M18" s="2892"/>
      <c r="N18" s="2892"/>
      <c r="O18" s="2950"/>
      <c r="P18" s="3530"/>
      <c r="Q18" s="1487"/>
      <c r="R18" s="714"/>
      <c r="S18" s="715"/>
      <c r="T18" s="714"/>
      <c r="U18" s="715"/>
      <c r="V18" s="714"/>
      <c r="W18" s="715"/>
      <c r="X18" s="1490"/>
      <c r="Y18" s="3530"/>
      <c r="Z18" s="1491"/>
      <c r="AA18" s="1488">
        <v>1</v>
      </c>
      <c r="AB18" s="1488">
        <v>1</v>
      </c>
      <c r="AC18" s="1488">
        <v>1</v>
      </c>
    </row>
    <row r="19" spans="1:29" ht="15">
      <c r="A19" s="387"/>
      <c r="B19" s="587" t="s">
        <v>2323</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530"/>
      <c r="Q19" s="1487" t="str">
        <f t="shared" ref="Q19:Q33" si="8">B19</f>
        <v>区域土地利用方向</v>
      </c>
      <c r="R19" s="714" t="s">
        <v>17</v>
      </c>
      <c r="S19" s="715">
        <f>F19</f>
        <v>100</v>
      </c>
      <c r="T19" s="714" t="s">
        <v>17</v>
      </c>
      <c r="U19" s="715">
        <f>H19</f>
        <v>100</v>
      </c>
      <c r="V19" s="714" t="s">
        <v>17</v>
      </c>
      <c r="W19" s="715">
        <f>J19</f>
        <v>100</v>
      </c>
      <c r="X19" s="1490"/>
      <c r="Y19" s="3530"/>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8"/>
      <c r="M20" s="2892"/>
      <c r="N20" s="2892"/>
      <c r="O20" s="2950"/>
      <c r="P20" s="3530"/>
      <c r="Q20" s="1487"/>
      <c r="R20" s="714"/>
      <c r="S20" s="715"/>
      <c r="T20" s="714"/>
      <c r="U20" s="715"/>
      <c r="V20" s="714"/>
      <c r="W20" s="715"/>
      <c r="X20" s="1490"/>
      <c r="Y20" s="3530"/>
      <c r="Z20" s="1491"/>
      <c r="AA20" s="1488"/>
      <c r="AB20" s="1488"/>
      <c r="AC20" s="1488"/>
    </row>
    <row r="21" spans="1:29" ht="15">
      <c r="A21" s="364"/>
      <c r="B21" s="587" t="s">
        <v>2373</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530"/>
      <c r="Q21" s="1487" t="str">
        <f t="shared" si="8"/>
        <v>环境状况</v>
      </c>
      <c r="R21" s="714" t="s">
        <v>17</v>
      </c>
      <c r="S21" s="715">
        <f>F21</f>
        <v>100</v>
      </c>
      <c r="T21" s="714" t="s">
        <v>17</v>
      </c>
      <c r="U21" s="715">
        <f>H21</f>
        <v>100</v>
      </c>
      <c r="V21" s="714" t="s">
        <v>17</v>
      </c>
      <c r="W21" s="715">
        <f>J21</f>
        <v>100</v>
      </c>
      <c r="X21" s="1490"/>
      <c r="Y21" s="3530"/>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8"/>
      <c r="M22" s="2892"/>
      <c r="N22" s="2892"/>
      <c r="O22" s="2950"/>
      <c r="P22" s="3530"/>
      <c r="Q22" s="1487"/>
      <c r="R22" s="714"/>
      <c r="S22" s="715"/>
      <c r="T22" s="714"/>
      <c r="U22" s="715"/>
      <c r="V22" s="714"/>
      <c r="W22" s="715"/>
      <c r="X22" s="1490"/>
      <c r="Y22" s="3530"/>
      <c r="Z22" s="1491"/>
      <c r="AA22" s="1488">
        <v>1</v>
      </c>
      <c r="AB22" s="1488">
        <v>1</v>
      </c>
      <c r="AC22" s="1488">
        <v>1</v>
      </c>
    </row>
    <row r="23" spans="1:29" s="113" customFormat="1" ht="15">
      <c r="A23" s="605"/>
      <c r="B23" s="589" t="s">
        <v>2229</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530"/>
      <c r="Q23" s="1478" t="str">
        <f t="shared" si="8"/>
        <v>公共配套设施</v>
      </c>
      <c r="R23" s="710" t="s">
        <v>17</v>
      </c>
      <c r="S23" s="711">
        <f>F23</f>
        <v>100</v>
      </c>
      <c r="T23" s="710" t="s">
        <v>17</v>
      </c>
      <c r="U23" s="711">
        <f>H23</f>
        <v>100</v>
      </c>
      <c r="V23" s="710" t="s">
        <v>17</v>
      </c>
      <c r="W23" s="711">
        <f>J23</f>
        <v>100</v>
      </c>
      <c r="X23" s="712"/>
      <c r="Y23" s="3530"/>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3"/>
      <c r="M24" s="2894"/>
      <c r="N24" s="2894"/>
      <c r="O24" s="2948"/>
      <c r="P24" s="3530"/>
      <c r="Q24" s="1478"/>
      <c r="R24" s="710"/>
      <c r="S24" s="711"/>
      <c r="T24" s="710"/>
      <c r="U24" s="711"/>
      <c r="V24" s="710"/>
      <c r="W24" s="711"/>
      <c r="X24" s="712"/>
      <c r="Y24" s="3530"/>
      <c r="Z24" s="55"/>
      <c r="AA24" s="713">
        <v>1</v>
      </c>
      <c r="AB24" s="713">
        <v>1</v>
      </c>
      <c r="AC24" s="713">
        <v>1</v>
      </c>
    </row>
    <row r="25" spans="1:29" s="113" customFormat="1" ht="15">
      <c r="A25" s="605"/>
      <c r="B25" s="589" t="s">
        <v>2230</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530"/>
      <c r="Q25" s="1478" t="str">
        <f t="shared" ref="Q25" si="9">B25</f>
        <v>基础设施水平</v>
      </c>
      <c r="R25" s="710" t="s">
        <v>17</v>
      </c>
      <c r="S25" s="711">
        <f>F25</f>
        <v>100</v>
      </c>
      <c r="T25" s="710" t="s">
        <v>17</v>
      </c>
      <c r="U25" s="711">
        <f>H25</f>
        <v>100</v>
      </c>
      <c r="V25" s="710" t="s">
        <v>17</v>
      </c>
      <c r="W25" s="711">
        <f>J25</f>
        <v>100</v>
      </c>
      <c r="X25" s="712"/>
      <c r="Y25" s="3530"/>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3"/>
      <c r="M26" s="2894"/>
      <c r="N26" s="2894"/>
      <c r="O26" s="2948"/>
      <c r="P26" s="3530"/>
      <c r="Q26" s="1478"/>
      <c r="R26" s="710"/>
      <c r="S26" s="711"/>
      <c r="T26" s="710"/>
      <c r="U26" s="711"/>
      <c r="V26" s="710"/>
      <c r="W26" s="711"/>
      <c r="X26" s="712"/>
      <c r="Y26" s="3530"/>
      <c r="Z26" s="55"/>
      <c r="AA26" s="713">
        <v>1</v>
      </c>
      <c r="AB26" s="713">
        <v>1</v>
      </c>
      <c r="AC26" s="713">
        <v>1</v>
      </c>
    </row>
    <row r="27" spans="1:29" ht="15">
      <c r="A27" s="387"/>
      <c r="B27" s="588" t="s">
        <v>2231</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53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30"/>
      <c r="Z27" s="1491" t="str">
        <f t="shared" ref="Z27:Z40" si="13">Q27</f>
        <v>临街状况</v>
      </c>
      <c r="AA27" s="1488">
        <f t="shared" si="3"/>
        <v>1</v>
      </c>
      <c r="AB27" s="1488">
        <f t="shared" si="4"/>
        <v>1</v>
      </c>
      <c r="AC27" s="1488">
        <f t="shared" si="5"/>
        <v>1</v>
      </c>
    </row>
    <row r="28" spans="1:29" ht="27">
      <c r="A28" s="387"/>
      <c r="B28" s="589" t="s">
        <v>2266</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530"/>
      <c r="Q28" s="1487" t="str">
        <f t="shared" si="8"/>
        <v>毗邻道路的类型与等级</v>
      </c>
      <c r="R28" s="714" t="s">
        <v>17</v>
      </c>
      <c r="S28" s="715">
        <f t="shared" si="10"/>
        <v>100</v>
      </c>
      <c r="T28" s="714" t="s">
        <v>17</v>
      </c>
      <c r="U28" s="715">
        <f t="shared" si="11"/>
        <v>100</v>
      </c>
      <c r="V28" s="714" t="s">
        <v>17</v>
      </c>
      <c r="W28" s="715">
        <f t="shared" si="12"/>
        <v>100</v>
      </c>
      <c r="X28" s="1490"/>
      <c r="Y28" s="3530"/>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8"/>
      <c r="M29" s="2892"/>
      <c r="N29" s="2892"/>
      <c r="O29" s="2950"/>
      <c r="P29" s="3530"/>
      <c r="Q29" s="1487"/>
      <c r="R29" s="714"/>
      <c r="S29" s="715"/>
      <c r="T29" s="714"/>
      <c r="U29" s="715"/>
      <c r="V29" s="714"/>
      <c r="W29" s="715"/>
      <c r="X29" s="1490"/>
      <c r="Y29" s="3530"/>
      <c r="Z29" s="1491"/>
      <c r="AA29" s="1488">
        <v>1</v>
      </c>
      <c r="AB29" s="1488">
        <v>1</v>
      </c>
      <c r="AC29" s="1488">
        <v>1</v>
      </c>
    </row>
    <row r="30" spans="1:29" ht="15">
      <c r="A30" s="387"/>
      <c r="B30" s="610" t="s">
        <v>2325</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530"/>
      <c r="Q30" s="1487" t="str">
        <f t="shared" si="8"/>
        <v>土地级别</v>
      </c>
      <c r="R30" s="714" t="s">
        <v>17</v>
      </c>
      <c r="S30" s="715">
        <f t="shared" si="10"/>
        <v>100</v>
      </c>
      <c r="T30" s="714" t="s">
        <v>17</v>
      </c>
      <c r="U30" s="715">
        <f t="shared" si="11"/>
        <v>100</v>
      </c>
      <c r="V30" s="714" t="s">
        <v>17</v>
      </c>
      <c r="W30" s="715">
        <f t="shared" si="12"/>
        <v>100</v>
      </c>
      <c r="X30" s="1490"/>
      <c r="Y30" s="3530"/>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530"/>
      <c r="Q31" s="1487">
        <f t="shared" si="8"/>
        <v>111</v>
      </c>
      <c r="R31" s="714" t="s">
        <v>17</v>
      </c>
      <c r="S31" s="715">
        <f t="shared" si="10"/>
        <v>100</v>
      </c>
      <c r="T31" s="714" t="s">
        <v>17</v>
      </c>
      <c r="U31" s="715">
        <f t="shared" si="11"/>
        <v>100</v>
      </c>
      <c r="V31" s="714" t="s">
        <v>17</v>
      </c>
      <c r="W31" s="715">
        <f t="shared" si="12"/>
        <v>100</v>
      </c>
      <c r="X31" s="1490"/>
      <c r="Y31" s="3530"/>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53" t="s">
        <v>2140</v>
      </c>
      <c r="Q32" s="1487">
        <f t="shared" si="8"/>
        <v>111</v>
      </c>
      <c r="R32" s="714" t="s">
        <v>17</v>
      </c>
      <c r="S32" s="715">
        <f t="shared" si="10"/>
        <v>100</v>
      </c>
      <c r="T32" s="714" t="s">
        <v>17</v>
      </c>
      <c r="U32" s="715">
        <f t="shared" si="11"/>
        <v>100</v>
      </c>
      <c r="V32" s="714" t="s">
        <v>17</v>
      </c>
      <c r="W32" s="715">
        <f t="shared" si="12"/>
        <v>100</v>
      </c>
      <c r="X32" s="1490"/>
      <c r="Y32" s="3534" t="s">
        <v>2140</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534"/>
      <c r="Q33" s="1487">
        <f t="shared" si="8"/>
        <v>111</v>
      </c>
      <c r="R33" s="717" t="s">
        <v>17</v>
      </c>
      <c r="S33" s="718">
        <f t="shared" si="10"/>
        <v>100</v>
      </c>
      <c r="T33" s="717" t="s">
        <v>17</v>
      </c>
      <c r="U33" s="718">
        <f t="shared" si="11"/>
        <v>100</v>
      </c>
      <c r="V33" s="717" t="s">
        <v>17</v>
      </c>
      <c r="W33" s="718">
        <f t="shared" si="12"/>
        <v>100</v>
      </c>
      <c r="X33" s="719"/>
      <c r="Y33" s="3534"/>
      <c r="Z33" s="720">
        <f t="shared" si="13"/>
        <v>111</v>
      </c>
      <c r="AA33" s="1488">
        <f t="shared" si="3"/>
        <v>1</v>
      </c>
      <c r="AB33" s="1488">
        <f t="shared" si="4"/>
        <v>1</v>
      </c>
      <c r="AC33" s="1488">
        <f t="shared" si="5"/>
        <v>1</v>
      </c>
    </row>
    <row r="34" spans="1:31" ht="15">
      <c r="A34" s="399" t="s">
        <v>2138</v>
      </c>
      <c r="B34" s="415" t="s">
        <v>2326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534"/>
      <c r="Q34" s="1487" t="str">
        <f>B34</f>
        <v>宗地面积</v>
      </c>
      <c r="R34" s="714" t="s">
        <v>17</v>
      </c>
      <c r="S34" s="715" t="e">
        <f t="shared" si="10"/>
        <v>#N/A</v>
      </c>
      <c r="T34" s="714" t="s">
        <v>17</v>
      </c>
      <c r="U34" s="715" t="e">
        <f t="shared" si="11"/>
        <v>#N/A</v>
      </c>
      <c r="V34" s="714" t="s">
        <v>17</v>
      </c>
      <c r="W34" s="715" t="e">
        <f t="shared" si="12"/>
        <v>#N/A</v>
      </c>
      <c r="X34" s="1490"/>
      <c r="Y34" s="3534"/>
      <c r="Z34" s="1491" t="str">
        <f t="shared" si="13"/>
        <v>宗地面积</v>
      </c>
      <c r="AA34" s="1488" t="e">
        <f t="shared" si="3"/>
        <v>#N/A</v>
      </c>
      <c r="AB34" s="1488" t="e">
        <f t="shared" si="4"/>
        <v>#N/A</v>
      </c>
      <c r="AC34" s="1488" t="e">
        <f t="shared" si="5"/>
        <v>#N/A</v>
      </c>
    </row>
    <row r="35" spans="1:31" ht="15">
      <c r="A35" s="431"/>
      <c r="B35" s="381" t="s">
        <v>2327</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8"/>
      <c r="M35" s="2892"/>
      <c r="N35" s="2892"/>
      <c r="O35" s="2950"/>
      <c r="P35" s="3534"/>
      <c r="Q35" s="1487" t="str">
        <f t="shared" ref="Q35:Q40" si="14">B35</f>
        <v>宗地形状</v>
      </c>
      <c r="R35" s="714" t="s">
        <v>17</v>
      </c>
      <c r="S35" s="715">
        <f t="shared" si="10"/>
        <v>100</v>
      </c>
      <c r="T35" s="714" t="s">
        <v>17</v>
      </c>
      <c r="U35" s="715">
        <f t="shared" si="11"/>
        <v>100</v>
      </c>
      <c r="V35" s="714" t="s">
        <v>17</v>
      </c>
      <c r="W35" s="715">
        <f t="shared" si="12"/>
        <v>100</v>
      </c>
      <c r="X35" s="1490"/>
      <c r="Y35" s="3534"/>
      <c r="Z35" s="1491" t="str">
        <f t="shared" si="13"/>
        <v>宗地形状</v>
      </c>
      <c r="AA35" s="1488">
        <f t="shared" si="3"/>
        <v>1</v>
      </c>
      <c r="AB35" s="1488">
        <f t="shared" si="4"/>
        <v>1</v>
      </c>
      <c r="AC35" s="1488">
        <f t="shared" si="5"/>
        <v>1</v>
      </c>
    </row>
    <row r="36" spans="1:31" s="113" customFormat="1" ht="15">
      <c r="A36" s="432"/>
      <c r="B36" s="381" t="s">
        <v>2329</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3"/>
      <c r="M36" s="2894"/>
      <c r="N36" s="2894"/>
      <c r="O36" s="2948"/>
      <c r="P36" s="3534"/>
      <c r="Q36" s="1487" t="str">
        <f t="shared" si="14"/>
        <v>宗地开发程度</v>
      </c>
      <c r="R36" s="710" t="s">
        <v>17</v>
      </c>
      <c r="S36" s="711">
        <f t="shared" si="10"/>
        <v>100</v>
      </c>
      <c r="T36" s="710" t="s">
        <v>17</v>
      </c>
      <c r="U36" s="711">
        <f t="shared" si="11"/>
        <v>100</v>
      </c>
      <c r="V36" s="710" t="s">
        <v>17</v>
      </c>
      <c r="W36" s="711">
        <f t="shared" si="12"/>
        <v>100</v>
      </c>
      <c r="X36" s="712"/>
      <c r="Y36" s="3534"/>
      <c r="Z36" s="55" t="str">
        <f t="shared" si="13"/>
        <v>宗地开发程度</v>
      </c>
      <c r="AA36" s="713">
        <f t="shared" si="3"/>
        <v>1</v>
      </c>
      <c r="AB36" s="713">
        <f t="shared" si="4"/>
        <v>1</v>
      </c>
      <c r="AC36" s="713">
        <f t="shared" si="5"/>
        <v>1</v>
      </c>
    </row>
    <row r="37" spans="1:31" ht="15">
      <c r="A37" s="431"/>
      <c r="B37" s="381" t="s">
        <v>2330</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8"/>
      <c r="M37" s="2892"/>
      <c r="N37" s="2892"/>
      <c r="O37" s="2950"/>
      <c r="P37" s="3534" t="s">
        <v>2140</v>
      </c>
      <c r="Q37" s="1487" t="str">
        <f t="shared" si="14"/>
        <v>工程地质条件</v>
      </c>
      <c r="R37" s="714" t="s">
        <v>17</v>
      </c>
      <c r="S37" s="715">
        <f t="shared" si="10"/>
        <v>100</v>
      </c>
      <c r="T37" s="714" t="s">
        <v>17</v>
      </c>
      <c r="U37" s="715">
        <f t="shared" si="11"/>
        <v>100</v>
      </c>
      <c r="V37" s="714" t="s">
        <v>17</v>
      </c>
      <c r="W37" s="715">
        <f t="shared" si="12"/>
        <v>100</v>
      </c>
      <c r="X37" s="1490"/>
      <c r="Y37" s="3534" t="s">
        <v>2140</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534"/>
      <c r="Q38" s="1487">
        <f t="shared" si="14"/>
        <v>111</v>
      </c>
      <c r="R38" s="714" t="s">
        <v>17</v>
      </c>
      <c r="S38" s="715">
        <f t="shared" si="10"/>
        <v>100</v>
      </c>
      <c r="T38" s="714" t="s">
        <v>17</v>
      </c>
      <c r="U38" s="715">
        <f t="shared" si="11"/>
        <v>100</v>
      </c>
      <c r="V38" s="714" t="s">
        <v>17</v>
      </c>
      <c r="W38" s="715">
        <f t="shared" si="12"/>
        <v>100</v>
      </c>
      <c r="X38" s="1490"/>
      <c r="Y38" s="353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534"/>
      <c r="Q39" s="1487">
        <f t="shared" si="14"/>
        <v>111</v>
      </c>
      <c r="R39" s="714" t="s">
        <v>17</v>
      </c>
      <c r="S39" s="715">
        <f t="shared" si="10"/>
        <v>100</v>
      </c>
      <c r="T39" s="714" t="s">
        <v>17</v>
      </c>
      <c r="U39" s="715">
        <f t="shared" si="11"/>
        <v>100</v>
      </c>
      <c r="V39" s="714" t="s">
        <v>17</v>
      </c>
      <c r="W39" s="715">
        <f t="shared" si="12"/>
        <v>100</v>
      </c>
      <c r="X39" s="1490"/>
      <c r="Y39" s="3534"/>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534"/>
      <c r="Q40" s="1487">
        <f t="shared" si="14"/>
        <v>111</v>
      </c>
      <c r="R40" s="717" t="s">
        <v>17</v>
      </c>
      <c r="S40" s="718">
        <f t="shared" si="10"/>
        <v>100</v>
      </c>
      <c r="T40" s="717" t="s">
        <v>17</v>
      </c>
      <c r="U40" s="718">
        <f t="shared" si="11"/>
        <v>100</v>
      </c>
      <c r="V40" s="717" t="s">
        <v>17</v>
      </c>
      <c r="W40" s="718">
        <f t="shared" si="12"/>
        <v>100</v>
      </c>
      <c r="X40" s="719"/>
      <c r="Y40" s="3534"/>
      <c r="Z40" s="720">
        <f t="shared" si="13"/>
        <v>111</v>
      </c>
      <c r="AA40" s="1488">
        <f t="shared" si="3"/>
        <v>1</v>
      </c>
      <c r="AB40" s="1488">
        <f t="shared" si="4"/>
        <v>1</v>
      </c>
      <c r="AC40" s="1488">
        <f t="shared" si="5"/>
        <v>1</v>
      </c>
    </row>
    <row r="41" spans="1:31" ht="15">
      <c r="A41" s="438" t="s">
        <v>2295</v>
      </c>
      <c r="B41" s="2118" t="s">
        <v>2374</v>
      </c>
      <c r="C41" s="638" t="s">
        <v>1</v>
      </c>
      <c r="D41" s="440"/>
      <c r="E41" s="441"/>
      <c r="F41" s="442"/>
      <c r="G41" s="443"/>
      <c r="H41" s="444"/>
      <c r="I41" s="441"/>
      <c r="J41" s="444"/>
      <c r="K41" s="723"/>
      <c r="L41" s="2900"/>
      <c r="M41" s="2892"/>
      <c r="N41" s="2892"/>
      <c r="O41" s="2901"/>
      <c r="P41" s="3527" t="str">
        <f>A41</f>
        <v>成交单价</v>
      </c>
      <c r="Q41" s="3527"/>
      <c r="R41" s="3522">
        <f>E41</f>
        <v>0</v>
      </c>
      <c r="S41" s="3522"/>
      <c r="T41" s="3522">
        <f>G41</f>
        <v>0</v>
      </c>
      <c r="U41" s="3522"/>
      <c r="V41" s="3522">
        <f>I41</f>
        <v>0</v>
      </c>
      <c r="W41" s="3522"/>
      <c r="X41" s="699"/>
      <c r="Y41" s="721"/>
      <c r="Z41" s="699"/>
      <c r="AA41" s="699"/>
      <c r="AB41" s="699"/>
      <c r="AC41" s="699"/>
    </row>
    <row r="42" spans="1:31" ht="15.75" thickBot="1">
      <c r="A42" s="445" t="s">
        <v>2244</v>
      </c>
      <c r="B42" s="639"/>
      <c r="C42" s="448" t="e">
        <f>R43</f>
        <v>#DIV/0!</v>
      </c>
      <c r="D42" s="2488" t="s">
        <v>2634</v>
      </c>
      <c r="E42" s="448" t="e">
        <f>R42</f>
        <v>#DIV/0!</v>
      </c>
      <c r="F42" s="2489"/>
      <c r="G42" s="447" t="e">
        <f>T42</f>
        <v>#DIV/0!</v>
      </c>
      <c r="H42" s="2489"/>
      <c r="I42" s="448" t="e">
        <f>V42</f>
        <v>#DIV/0!</v>
      </c>
      <c r="J42" s="2489"/>
      <c r="K42" s="2491">
        <f>F42+H42+J42</f>
        <v>0</v>
      </c>
      <c r="L42" s="2900"/>
      <c r="M42" s="2892"/>
      <c r="N42" s="2892"/>
      <c r="O42" s="2901"/>
      <c r="P42" s="3527" t="str">
        <f>A42</f>
        <v>比较价值（元/平方米）</v>
      </c>
      <c r="Q42" s="3527"/>
      <c r="R42" s="3555" t="e">
        <f>ROUND(PRODUCT(R41,AA7:AA40),0)</f>
        <v>#DIV/0!</v>
      </c>
      <c r="S42" s="3555"/>
      <c r="T42" s="3555" t="e">
        <f>ROUND(PRODUCT(T41,AB7:AB40),0)</f>
        <v>#DIV/0!</v>
      </c>
      <c r="U42" s="3555"/>
      <c r="V42" s="3555" t="e">
        <f>ROUND(PRODUCT(V41,AC7:AC40),0)</f>
        <v>#DIV/0!</v>
      </c>
      <c r="W42" s="3555"/>
      <c r="X42" s="699"/>
      <c r="Y42" s="699"/>
      <c r="Z42" s="699"/>
      <c r="AA42" s="699"/>
      <c r="AB42" s="699"/>
      <c r="AC42" s="699"/>
    </row>
    <row r="43" spans="1:31" ht="15.75" thickBot="1">
      <c r="A43" s="449" t="s">
        <v>2245</v>
      </c>
      <c r="B43" s="450"/>
      <c r="C43" s="451" t="e">
        <f>R43</f>
        <v>#DIV/0!</v>
      </c>
      <c r="D43" s="451"/>
      <c r="E43" s="451"/>
      <c r="F43" s="451"/>
      <c r="G43" s="451"/>
      <c r="H43" s="451"/>
      <c r="I43" s="451"/>
      <c r="J43" s="451"/>
      <c r="K43" s="724"/>
      <c r="L43" s="2900"/>
      <c r="M43" s="2892"/>
      <c r="N43" s="2892"/>
      <c r="O43" s="2901"/>
      <c r="P43" s="3524" t="str">
        <f>A43</f>
        <v>估价对象XX用房的比较价值（楼面单价，元/平方米）</v>
      </c>
      <c r="Q43" s="3525"/>
      <c r="R43" s="3556" t="e">
        <f>ROUND(IF(D42="简单平均",AVERAGE(R42:W42),R42*F42+T42*H42+V42*J42),0)</f>
        <v>#DIV/0!</v>
      </c>
      <c r="S43" s="3556"/>
      <c r="T43" s="3556"/>
      <c r="U43" s="3556"/>
      <c r="V43" s="3556"/>
      <c r="W43" s="3556"/>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2246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2247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2248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2333</v>
      </c>
      <c r="B50" s="641" t="s">
        <v>2334</v>
      </c>
      <c r="C50" s="2119" t="s">
        <v>2335</v>
      </c>
      <c r="D50" s="2120" t="s">
        <v>2336</v>
      </c>
      <c r="E50" s="642" t="s">
        <v>2337</v>
      </c>
      <c r="F50" s="643" t="s">
        <v>2338</v>
      </c>
      <c r="G50" s="3510" t="s">
        <v>2339</v>
      </c>
      <c r="H50" s="3557"/>
      <c r="I50" s="1491" t="s">
        <v>2375</v>
      </c>
      <c r="J50" s="1491">
        <f>项目基本情况!F35</f>
        <v>0</v>
      </c>
      <c r="K50" s="2122" t="s">
        <v>2341</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2342</v>
      </c>
      <c r="B51" s="645" t="e">
        <f>C43</f>
        <v>#DIV/0!</v>
      </c>
      <c r="C51" s="646">
        <v>1</v>
      </c>
      <c r="D51" s="1056">
        <v>1</v>
      </c>
      <c r="E51" s="646">
        <f>'数据-汇总表'!E8+'数据-汇总表'!E9</f>
        <v>45126.799999999996</v>
      </c>
      <c r="F51" s="647" t="e">
        <f t="shared" ref="F51:F60" si="15">ROUND(B51*E51/10000,0)</f>
        <v>#DIV/0!</v>
      </c>
      <c r="G51" s="3509"/>
      <c r="H51" s="3527"/>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2343</v>
      </c>
      <c r="B52" s="224" t="e">
        <f>ROUND($C$43*C52*D52,0)</f>
        <v>#DIV/0!</v>
      </c>
      <c r="C52" s="176">
        <f t="shared" ref="C52:C60" si="16">IF($C$50="北京市系数",I52,J52)</f>
        <v>0.7</v>
      </c>
      <c r="D52" s="1057">
        <v>0.25</v>
      </c>
      <c r="E52" s="650"/>
      <c r="F52" s="647" t="e">
        <f t="shared" si="15"/>
        <v>#DIV/0!</v>
      </c>
      <c r="G52" s="3225" t="s">
        <v>2344</v>
      </c>
      <c r="H52" s="999" t="str">
        <f>项目基本情况!B37</f>
        <v>二级</v>
      </c>
      <c r="I52" s="860">
        <f>SUMIF(修正!A57:A68,H52,修正!B57:B68)</f>
        <v>0.7</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2345</v>
      </c>
      <c r="B53" s="224" t="e">
        <f t="shared" ref="B53:B60" si="17">ROUND($C$43*C53*D53,0)</f>
        <v>#DIV/0!</v>
      </c>
      <c r="C53" s="176">
        <f t="shared" si="16"/>
        <v>0.4</v>
      </c>
      <c r="D53" s="1057">
        <v>0.25</v>
      </c>
      <c r="E53" s="650"/>
      <c r="F53" s="647" t="e">
        <f t="shared" si="15"/>
        <v>#DIV/0!</v>
      </c>
      <c r="G53" s="3226"/>
      <c r="H53" s="999" t="str">
        <f>项目基本情况!B37</f>
        <v>二级</v>
      </c>
      <c r="I53" s="860">
        <f>SUMIF(修正!A57:A68,H53,修正!C57:C68)</f>
        <v>0.4</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2346</v>
      </c>
      <c r="B54" s="224" t="e">
        <f t="shared" si="17"/>
        <v>#DIV/0!</v>
      </c>
      <c r="C54" s="176">
        <f t="shared" si="16"/>
        <v>0.3</v>
      </c>
      <c r="D54" s="1057">
        <v>0.25</v>
      </c>
      <c r="E54" s="650"/>
      <c r="F54" s="647" t="e">
        <f t="shared" si="15"/>
        <v>#DIV/0!</v>
      </c>
      <c r="G54" s="3226"/>
      <c r="H54" s="999" t="str">
        <f>项目基本情况!B37</f>
        <v>二级</v>
      </c>
      <c r="I54" s="860">
        <f>SUMIF(修正!A57:A68,H54,修正!D57:D68)</f>
        <v>0.3</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2347</v>
      </c>
      <c r="B56" s="224" t="e">
        <f t="shared" si="17"/>
        <v>#DIV/0!</v>
      </c>
      <c r="C56" s="176">
        <f t="shared" si="16"/>
        <v>0</v>
      </c>
      <c r="D56" s="1057">
        <v>0.25</v>
      </c>
      <c r="E56" s="223">
        <f>'数据-汇总表'!E11</f>
        <v>0</v>
      </c>
      <c r="F56" s="647" t="e">
        <f t="shared" si="15"/>
        <v>#DIV/0!</v>
      </c>
      <c r="G56" s="2123" t="s">
        <v>2348</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2349</v>
      </c>
      <c r="B57" s="224" t="e">
        <f t="shared" si="17"/>
        <v>#DIV/0!</v>
      </c>
      <c r="C57" s="176">
        <f t="shared" si="16"/>
        <v>0</v>
      </c>
      <c r="D57" s="1057">
        <v>0.25</v>
      </c>
      <c r="E57" s="223">
        <f>'数据-汇总表'!E12</f>
        <v>0</v>
      </c>
      <c r="F57" s="647" t="e">
        <f t="shared" si="15"/>
        <v>#DIV/0!</v>
      </c>
      <c r="G57" s="1004" t="s">
        <v>2350</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2351</v>
      </c>
      <c r="B58" s="224" t="e">
        <f t="shared" si="17"/>
        <v>#DIV/0!</v>
      </c>
      <c r="C58" s="176">
        <f t="shared" si="16"/>
        <v>0</v>
      </c>
      <c r="D58" s="1057">
        <v>0.25</v>
      </c>
      <c r="E58" s="223">
        <f>'数据-汇总表'!E13</f>
        <v>0</v>
      </c>
      <c r="F58" s="647" t="e">
        <f t="shared" si="15"/>
        <v>#DIV/0!</v>
      </c>
      <c r="G58" s="1004" t="s">
        <v>2352</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2353</v>
      </c>
      <c r="B59" s="224" t="e">
        <f t="shared" si="17"/>
        <v>#DIV/0!</v>
      </c>
      <c r="C59" s="176">
        <f t="shared" si="16"/>
        <v>0.2</v>
      </c>
      <c r="D59" s="1057">
        <v>0.25</v>
      </c>
      <c r="E59" s="223">
        <f>'数据-汇总表'!E14</f>
        <v>0</v>
      </c>
      <c r="F59" s="647" t="e">
        <f t="shared" si="15"/>
        <v>#DIV/0!</v>
      </c>
      <c r="G59" s="2123" t="s">
        <v>2344</v>
      </c>
      <c r="H59" s="999" t="str">
        <f>项目基本情况!B37</f>
        <v>二级</v>
      </c>
      <c r="I59" s="860">
        <f>SUMIF(修正!A57:A68,H59,修正!G57:G68)</f>
        <v>0.2</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2354</v>
      </c>
      <c r="B60" s="224" t="e">
        <f t="shared" si="17"/>
        <v>#DIV/0!</v>
      </c>
      <c r="C60" s="176">
        <f t="shared" si="16"/>
        <v>0</v>
      </c>
      <c r="D60" s="1057">
        <v>0.25</v>
      </c>
      <c r="E60" s="223">
        <f>'数据-汇总表'!E15</f>
        <v>0</v>
      </c>
      <c r="F60" s="647" t="e">
        <f t="shared" si="15"/>
        <v>#DIV/0!</v>
      </c>
      <c r="G60" s="2124" t="s">
        <v>2348</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2355</v>
      </c>
      <c r="B61" s="652" t="s">
        <v>28</v>
      </c>
      <c r="C61" s="652" t="s">
        <v>29</v>
      </c>
      <c r="D61" s="652" t="s">
        <v>816</v>
      </c>
      <c r="E61" s="652">
        <f>IF(B41="楼面地价",SUM(E51:E60),'数据-汇总表'!D3)</f>
        <v>10807.05</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1"/>
      <c r="Q63" s="2901"/>
      <c r="R63" s="2901"/>
      <c r="S63" s="2901"/>
      <c r="T63" s="2901"/>
      <c r="U63" s="2901"/>
      <c r="V63" s="2901"/>
      <c r="W63" s="2901"/>
      <c r="X63" s="2901"/>
      <c r="Y63" s="2901"/>
      <c r="Z63" s="2901"/>
      <c r="AA63" s="2901"/>
      <c r="AB63" s="2901"/>
      <c r="AC63" s="2901"/>
      <c r="AD63" s="2901"/>
      <c r="AE63" s="2901"/>
    </row>
    <row r="64" spans="1:31" ht="21.75" thickBot="1">
      <c r="A64" s="703" t="s">
        <v>2249</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5" t="s">
        <v>2356</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2376</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2160</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2125</v>
      </c>
      <c r="B68" s="467"/>
      <c r="C68" s="479" t="s">
        <v>2227</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2163</v>
      </c>
      <c r="B70" s="485" t="s">
        <v>2129</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2132</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2134</v>
      </c>
      <c r="B83" s="485" t="s">
        <v>2280</v>
      </c>
      <c r="C83" s="530" t="s">
        <v>2172</v>
      </c>
      <c r="D83" s="530" t="s">
        <v>2173</v>
      </c>
      <c r="E83" s="530" t="s">
        <v>2174</v>
      </c>
      <c r="F83" s="530" t="s">
        <v>2175</v>
      </c>
      <c r="G83" s="530" t="s">
        <v>2176</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2177</v>
      </c>
      <c r="C85" s="535" t="s">
        <v>2172</v>
      </c>
      <c r="D85" s="535" t="s">
        <v>2173</v>
      </c>
      <c r="E85" s="535" t="s">
        <v>2174</v>
      </c>
      <c r="F85" s="535" t="s">
        <v>2175</v>
      </c>
      <c r="G85" s="535" t="s">
        <v>2176</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2359</v>
      </c>
      <c r="C87" s="530" t="s">
        <v>2172</v>
      </c>
      <c r="D87" s="530" t="s">
        <v>2173</v>
      </c>
      <c r="E87" s="530" t="s">
        <v>2174</v>
      </c>
      <c r="F87" s="530" t="s">
        <v>2175</v>
      </c>
      <c r="G87" s="530" t="s">
        <v>2176</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2360</v>
      </c>
      <c r="C89" s="530" t="s">
        <v>2172</v>
      </c>
      <c r="D89" s="530" t="s">
        <v>2173</v>
      </c>
      <c r="E89" s="530" t="s">
        <v>2174</v>
      </c>
      <c r="F89" s="530" t="s">
        <v>2175</v>
      </c>
      <c r="G89" s="530" t="s">
        <v>2176</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2229</v>
      </c>
      <c r="C91" s="530" t="s">
        <v>2172</v>
      </c>
      <c r="D91" s="530" t="s">
        <v>2173</v>
      </c>
      <c r="E91" s="530" t="s">
        <v>2174</v>
      </c>
      <c r="F91" s="530" t="s">
        <v>2175</v>
      </c>
      <c r="G91" s="530" t="s">
        <v>2176</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2377</v>
      </c>
      <c r="C93" s="616" t="s">
        <v>2250</v>
      </c>
      <c r="D93" s="616" t="s">
        <v>2251</v>
      </c>
      <c r="E93" s="616" t="s">
        <v>2252</v>
      </c>
      <c r="F93" s="616" t="s">
        <v>2253</v>
      </c>
      <c r="G93" s="616" t="s">
        <v>2254</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2266</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2325</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2138</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2366</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2368</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2369</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2378</v>
      </c>
      <c r="B1" s="203"/>
      <c r="C1" s="207" t="s">
        <v>2379</v>
      </c>
      <c r="D1" s="348">
        <f>SUM(D29:D30,D33:D39)</f>
        <v>0</v>
      </c>
      <c r="E1" s="2131"/>
      <c r="F1" s="2131"/>
      <c r="G1" s="2131"/>
      <c r="H1" s="2131"/>
      <c r="I1" s="2131"/>
      <c r="J1" s="2131"/>
      <c r="K1" s="1233"/>
      <c r="L1" s="2132" t="s">
        <v>2380</v>
      </c>
      <c r="M1" s="975">
        <f>SUMPRODUCT((区片价!B5:B9=I2)*(区片价!C3:F3=E2)*(区片价!C5:F9))</f>
        <v>0</v>
      </c>
      <c r="N1" s="978">
        <f>SUMPRODUCT((因素修正幅度!B5:B9=I2)*(因素修正幅度!C3:F3=E2)*(因素修正幅度!C5:F9))</f>
        <v>0</v>
      </c>
      <c r="O1" s="2133"/>
      <c r="P1" s="2133"/>
      <c r="Q1" s="1233"/>
      <c r="R1" s="1327" t="s">
        <v>2381</v>
      </c>
      <c r="S1" s="1327" t="s">
        <v>2382</v>
      </c>
      <c r="T1" s="1327" t="s">
        <v>2383</v>
      </c>
      <c r="U1" s="1327" t="s">
        <v>2384</v>
      </c>
      <c r="V1" s="1327" t="s">
        <v>2385</v>
      </c>
      <c r="W1" s="1331"/>
      <c r="X1" s="1331"/>
      <c r="Y1" s="1331"/>
      <c r="Z1" s="1331"/>
      <c r="AA1" s="1331"/>
      <c r="AB1" s="1331"/>
      <c r="AC1" s="1332"/>
      <c r="AD1" s="1333"/>
      <c r="AE1" s="1333"/>
      <c r="AF1" s="1333"/>
      <c r="AG1" s="1333"/>
      <c r="AH1" s="1333"/>
      <c r="AI1" s="1333"/>
      <c r="AJ1" s="1334"/>
    </row>
    <row r="2" spans="1:36" ht="15.75">
      <c r="A2" s="207" t="s">
        <v>2386</v>
      </c>
      <c r="B2" s="210" t="e">
        <f>C26</f>
        <v>#DIV/0!</v>
      </c>
      <c r="C2" s="2135" t="s">
        <v>2387</v>
      </c>
      <c r="D2" s="2136" t="s">
        <v>2388</v>
      </c>
      <c r="E2" s="2137"/>
      <c r="F2" s="2136" t="s">
        <v>2389</v>
      </c>
      <c r="G2" s="2138">
        <f>IF(E2="商业",项目基本情况!B37,IF(E2="办公",项目基本情况!C37,IF(E2="住宅",项目基本情况!D37,项目基本情况!E37)))</f>
        <v>0</v>
      </c>
      <c r="H2" s="2136" t="s">
        <v>2390</v>
      </c>
      <c r="I2" s="2138">
        <f>IF(E2="商业",项目基本情况!B38,IF(E2="办公",项目基本情况!C38,IF(E2="住宅",项目基本情况!D38,项目基本情况!E38)))</f>
        <v>0</v>
      </c>
      <c r="J2" s="2139"/>
      <c r="K2" s="1233"/>
      <c r="L2" s="2140" t="s">
        <v>2391</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2392</v>
      </c>
      <c r="B3" s="210" t="e">
        <f>ROUND(B2*10000/D1,0)</f>
        <v>#DIV/0!</v>
      </c>
      <c r="C3" s="2135" t="s">
        <v>2393</v>
      </c>
      <c r="D3" s="2136" t="s">
        <v>2394</v>
      </c>
      <c r="E3" s="2141"/>
      <c r="F3" s="2142" t="s">
        <v>2395</v>
      </c>
      <c r="G3" s="837">
        <f>IF(F3="宗地容积率",'数据-汇总表'!I4,IF(F3="估价对象容积率",'数据-汇总表'!I6,'数据-汇总表'!I7))</f>
        <v>4.2699999999999996</v>
      </c>
      <c r="H3" s="175" t="s">
        <v>2396</v>
      </c>
      <c r="I3" s="862"/>
      <c r="J3" s="2139" t="s">
        <v>2397</v>
      </c>
      <c r="K3" s="1233"/>
      <c r="L3" s="2140" t="s">
        <v>2398</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81"/>
      <c r="B4" s="3582"/>
      <c r="C4" s="3582"/>
      <c r="D4" s="3583"/>
      <c r="E4" s="3583"/>
      <c r="F4" s="3583"/>
      <c r="G4" s="3583"/>
      <c r="H4" s="3583"/>
      <c r="I4" s="3583"/>
      <c r="J4" s="3584"/>
      <c r="K4" s="1233"/>
      <c r="L4" s="2140" t="s">
        <v>2399</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2400</v>
      </c>
      <c r="C5" s="838" t="e">
        <f>ROUND(IF(E2="商业",C6*C7+C16,(IF(E2="住宅",C6*C12+C16,C6+C16))),0)</f>
        <v>#DIV/0!</v>
      </c>
      <c r="D5" s="1474" t="e">
        <f>ROUND(C6+C16,0)</f>
        <v>#DIV/0!</v>
      </c>
      <c r="E5" s="1474"/>
      <c r="F5" s="2145"/>
      <c r="G5" s="2146"/>
      <c r="H5" s="2146"/>
      <c r="I5" s="2146"/>
      <c r="J5" s="2147"/>
      <c r="K5" s="2148"/>
      <c r="L5" s="2140" t="s">
        <v>2401</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2402</v>
      </c>
      <c r="B6" s="2154" t="s">
        <v>2403</v>
      </c>
      <c r="C6" s="839">
        <f>SUMIF(L1:L12,G2,M1:M12)</f>
        <v>0</v>
      </c>
      <c r="D6" s="2155" t="s">
        <v>2404</v>
      </c>
      <c r="E6" s="2156"/>
      <c r="F6" s="2156"/>
      <c r="G6" s="2157"/>
      <c r="H6" s="2157"/>
      <c r="I6" s="2157"/>
      <c r="J6" s="2158"/>
      <c r="K6" s="1519"/>
      <c r="L6" s="2140" t="s">
        <v>2405</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62" t="str">
        <f>IF(E2="商业",IF(C8="不临58条商业街","",2),"")</f>
        <v/>
      </c>
      <c r="B7" s="2159" t="s">
        <v>2406</v>
      </c>
      <c r="C7" s="840" t="e">
        <f>IF(C8="不临58条商业街",1,ROUND(1+(1.6*E8+1.2*E9+0.8*E10+0.4*E11)*C9,4))</f>
        <v>#DIV/0!</v>
      </c>
      <c r="D7" s="2160" t="s">
        <v>2407</v>
      </c>
      <c r="E7" s="863"/>
      <c r="F7" s="2161"/>
      <c r="G7" s="2162"/>
      <c r="H7" s="2162"/>
      <c r="I7" s="2162"/>
      <c r="J7" s="2163"/>
      <c r="K7" s="1519"/>
      <c r="L7" s="2140" t="s">
        <v>2408</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2409</v>
      </c>
      <c r="X7" s="1329">
        <f>G2</f>
        <v>0</v>
      </c>
      <c r="Y7" s="1329" t="s">
        <v>2410</v>
      </c>
      <c r="Z7" s="1330">
        <f>G3</f>
        <v>4.2699999999999996</v>
      </c>
      <c r="AA7" s="1331"/>
      <c r="AB7" s="1331"/>
      <c r="AC7" s="1332"/>
      <c r="AD7" s="1333"/>
      <c r="AE7" s="1333"/>
      <c r="AF7" s="1333"/>
      <c r="AG7" s="1333"/>
      <c r="AH7" s="1333"/>
      <c r="AI7" s="1333"/>
      <c r="AJ7" s="1334"/>
    </row>
    <row r="8" spans="1:36" ht="15">
      <c r="A8" s="3585"/>
      <c r="B8" s="175" t="s">
        <v>2411</v>
      </c>
      <c r="C8" s="2164"/>
      <c r="D8" s="841" t="s">
        <v>139</v>
      </c>
      <c r="E8" s="842" t="e">
        <f>ROUND(C11/E7,4)</f>
        <v>#DIV/0!</v>
      </c>
      <c r="F8" s="2165" t="s">
        <v>2412</v>
      </c>
      <c r="G8" s="2166"/>
      <c r="H8" s="2166"/>
      <c r="I8" s="2166"/>
      <c r="J8" s="2167"/>
      <c r="K8" s="1233"/>
      <c r="L8" s="2140" t="s">
        <v>2413</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8" t="s">
        <v>2414</v>
      </c>
      <c r="X8" s="3579"/>
      <c r="Y8" s="1335" t="s">
        <v>2415</v>
      </c>
      <c r="Z8" s="1335" t="s">
        <v>2416</v>
      </c>
      <c r="AA8" s="1335" t="s">
        <v>2417</v>
      </c>
      <c r="AB8" s="1335" t="s">
        <v>2418</v>
      </c>
      <c r="AC8" s="1335" t="s">
        <v>2419</v>
      </c>
      <c r="AD8" s="1335" t="s">
        <v>2420</v>
      </c>
      <c r="AE8" s="1335" t="s">
        <v>2421</v>
      </c>
      <c r="AF8" s="1335" t="s">
        <v>2422</v>
      </c>
      <c r="AG8" s="1335" t="s">
        <v>2423</v>
      </c>
      <c r="AH8" s="1335" t="s">
        <v>2424</v>
      </c>
      <c r="AI8" s="1335" t="s">
        <v>2425</v>
      </c>
      <c r="AJ8" s="1335" t="s">
        <v>2426</v>
      </c>
    </row>
    <row r="9" spans="1:36" ht="15">
      <c r="A9" s="3585"/>
      <c r="B9" s="175" t="s">
        <v>2427</v>
      </c>
      <c r="C9" s="843">
        <f>SUMIF(修正!C71:C138,C8,修正!E71:E138)</f>
        <v>0</v>
      </c>
      <c r="D9" s="176" t="s">
        <v>140</v>
      </c>
      <c r="E9" s="176" t="e">
        <f>ROUND(C11/E7,4)</f>
        <v>#DIV/0!</v>
      </c>
      <c r="F9" s="2165" t="s">
        <v>2428</v>
      </c>
      <c r="G9" s="2166"/>
      <c r="H9" s="2166"/>
      <c r="I9" s="2166"/>
      <c r="J9" s="2167"/>
      <c r="K9" s="1233"/>
      <c r="L9" s="2140" t="s">
        <v>2429</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80" t="s">
        <v>2430</v>
      </c>
      <c r="X9" s="1336" t="s">
        <v>2431</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85"/>
      <c r="B10" s="175" t="s">
        <v>2432</v>
      </c>
      <c r="C10" s="176">
        <f>SUMIF(修正!C71:C138,C8,修正!F71:F138)</f>
        <v>0</v>
      </c>
      <c r="D10" s="176" t="s">
        <v>141</v>
      </c>
      <c r="E10" s="176" t="e">
        <f>ROUND(C11/E7,4)</f>
        <v>#DIV/0!</v>
      </c>
      <c r="F10" s="2165" t="s">
        <v>2433</v>
      </c>
      <c r="G10" s="2166"/>
      <c r="H10" s="2166"/>
      <c r="I10" s="2166"/>
      <c r="J10" s="2167"/>
      <c r="K10" s="1233"/>
      <c r="L10" s="2140" t="s">
        <v>2434</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8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85"/>
      <c r="B11" s="2168" t="s">
        <v>2435</v>
      </c>
      <c r="C11" s="844">
        <f>C10/4</f>
        <v>0</v>
      </c>
      <c r="D11" s="844" t="s">
        <v>142</v>
      </c>
      <c r="E11" s="844" t="e">
        <f>ROUND(C11/E7,4)</f>
        <v>#DIV/0!</v>
      </c>
      <c r="F11" s="2169" t="s">
        <v>2436</v>
      </c>
      <c r="G11" s="2170"/>
      <c r="H11" s="2170"/>
      <c r="I11" s="2170"/>
      <c r="J11" s="2171"/>
      <c r="K11" s="1233"/>
      <c r="L11" s="2140" t="s">
        <v>2437</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80" t="s">
        <v>2438</v>
      </c>
      <c r="X11" s="1339" t="s">
        <v>2439</v>
      </c>
      <c r="Y11" s="1340">
        <f>$G$3</f>
        <v>4.2699999999999996</v>
      </c>
      <c r="Z11" s="1340">
        <f t="shared" ref="Z11:AJ11" si="3">$G$3</f>
        <v>4.2699999999999996</v>
      </c>
      <c r="AA11" s="1340">
        <f t="shared" si="3"/>
        <v>4.2699999999999996</v>
      </c>
      <c r="AB11" s="1340">
        <f t="shared" si="3"/>
        <v>4.2699999999999996</v>
      </c>
      <c r="AC11" s="1340">
        <f t="shared" si="3"/>
        <v>4.2699999999999996</v>
      </c>
      <c r="AD11" s="1340">
        <f t="shared" si="3"/>
        <v>4.2699999999999996</v>
      </c>
      <c r="AE11" s="1340">
        <f t="shared" si="3"/>
        <v>4.2699999999999996</v>
      </c>
      <c r="AF11" s="1340">
        <f t="shared" si="3"/>
        <v>4.2699999999999996</v>
      </c>
      <c r="AG11" s="1340">
        <f t="shared" si="3"/>
        <v>4.2699999999999996</v>
      </c>
      <c r="AH11" s="1340">
        <f t="shared" si="3"/>
        <v>4.2699999999999996</v>
      </c>
      <c r="AI11" s="1340">
        <f t="shared" si="3"/>
        <v>4.2699999999999996</v>
      </c>
      <c r="AJ11" s="1340">
        <f t="shared" si="3"/>
        <v>4.2699999999999996</v>
      </c>
    </row>
    <row r="12" spans="1:36" ht="25.5" thickBot="1">
      <c r="A12" s="3562" t="s">
        <v>2440</v>
      </c>
      <c r="B12" s="2172" t="s">
        <v>2441</v>
      </c>
      <c r="C12" s="840">
        <f>ROUND(C15*D15*E15*F15*G15*H15*I15*J15,4)</f>
        <v>1</v>
      </c>
      <c r="D12" s="2173" t="s">
        <v>2442</v>
      </c>
      <c r="E12" s="2174"/>
      <c r="F12" s="2174"/>
      <c r="G12" s="2175"/>
      <c r="H12" s="2175"/>
      <c r="I12" s="2175"/>
      <c r="J12" s="2176"/>
      <c r="K12" s="1233"/>
      <c r="L12" s="2177" t="s">
        <v>2443</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80"/>
      <c r="X12" s="1341" t="s">
        <v>2444</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6"/>
      <c r="B13" s="2178" t="s">
        <v>2445</v>
      </c>
      <c r="C13" s="2179" t="s">
        <v>2446</v>
      </c>
      <c r="D13" s="1485" t="s">
        <v>2447</v>
      </c>
      <c r="E13" s="1485" t="s">
        <v>2448</v>
      </c>
      <c r="F13" s="30" t="s">
        <v>2449</v>
      </c>
      <c r="G13" s="2180" t="s">
        <v>2450</v>
      </c>
      <c r="H13" s="2180" t="s">
        <v>2450</v>
      </c>
      <c r="I13" s="2180" t="s">
        <v>2450</v>
      </c>
      <c r="J13" s="2181" t="s">
        <v>2450</v>
      </c>
      <c r="K13" s="1233"/>
      <c r="L13" s="1233"/>
      <c r="M13" s="1233"/>
      <c r="N13" s="1233"/>
      <c r="O13" s="1233"/>
      <c r="P13" s="1233"/>
      <c r="Q13" s="1233"/>
      <c r="R13" s="1327">
        <v>12</v>
      </c>
      <c r="S13" s="1328"/>
      <c r="T13" s="1327" t="e">
        <f t="shared" si="0"/>
        <v>#DIV/0!</v>
      </c>
      <c r="U13" s="1328"/>
      <c r="V13" s="1327" t="e">
        <f t="shared" si="1"/>
        <v>#DIV/0!</v>
      </c>
      <c r="W13" s="3580"/>
      <c r="X13" s="1341"/>
      <c r="Y13" s="1338">
        <f>(-0.163*(Y12^2)-0.59*Y12+7617)*(10^(-4))/Y11</f>
        <v>0.17838407494145203</v>
      </c>
      <c r="Z13" s="1338">
        <f t="shared" ref="Z13:AJ13" si="5">(-0.163*(Z12^2)-0.59*Z12+7617)*(10^(-4))/Z11</f>
        <v>0.17838407494145203</v>
      </c>
      <c r="AA13" s="1338">
        <f t="shared" si="5"/>
        <v>0.17838407494145203</v>
      </c>
      <c r="AB13" s="1338">
        <f t="shared" si="5"/>
        <v>0.17838407494145203</v>
      </c>
      <c r="AC13" s="1338">
        <f t="shared" si="5"/>
        <v>0.17838407494145203</v>
      </c>
      <c r="AD13" s="1338">
        <f t="shared" si="5"/>
        <v>0.17838407494145203</v>
      </c>
      <c r="AE13" s="1338">
        <f t="shared" si="5"/>
        <v>0.17838407494145203</v>
      </c>
      <c r="AF13" s="1338">
        <f t="shared" si="5"/>
        <v>0.17838407494145203</v>
      </c>
      <c r="AG13" s="1338">
        <f t="shared" si="5"/>
        <v>0.17838407494145203</v>
      </c>
      <c r="AH13" s="1338">
        <f t="shared" si="5"/>
        <v>0.17838407494145203</v>
      </c>
      <c r="AI13" s="1338">
        <f t="shared" si="5"/>
        <v>0.17838407494145203</v>
      </c>
      <c r="AJ13" s="1338">
        <f t="shared" si="5"/>
        <v>0.17838407494145203</v>
      </c>
    </row>
    <row r="14" spans="1:36" ht="15">
      <c r="A14" s="3586"/>
      <c r="B14" s="2182"/>
      <c r="C14" s="2183"/>
      <c r="D14" s="2184"/>
      <c r="E14" s="2184"/>
      <c r="F14" s="2185"/>
      <c r="G14" s="2186" t="s">
        <v>2451</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587"/>
      <c r="B15" s="2190" t="s">
        <v>2452</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562" t="s">
        <v>2457</v>
      </c>
      <c r="B16" s="2159" t="s">
        <v>2458</v>
      </c>
      <c r="C16" s="2321" t="e">
        <f>ROUND(IF(F17="与级别开发程度一致",0,(G17-E17)/C17),0)</f>
        <v>#DIV/0!</v>
      </c>
      <c r="D16" s="3575" t="s">
        <v>2462</v>
      </c>
      <c r="E16" s="3576"/>
      <c r="F16" s="3575" t="s">
        <v>2459</v>
      </c>
      <c r="G16" s="3576"/>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563"/>
      <c r="B17" s="2332" t="s">
        <v>2461</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2464</v>
      </c>
      <c r="C18" s="2328">
        <f>SUMIF(修正!C20:C51,E3,修正!E20:E51)</f>
        <v>0</v>
      </c>
      <c r="D18" s="2329"/>
      <c r="E18" s="2330"/>
      <c r="F18" s="2330"/>
      <c r="G18" s="2330"/>
      <c r="H18" s="2330"/>
      <c r="I18" s="2330"/>
      <c r="J18" s="2331"/>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6"/>
    </row>
    <row r="19" spans="1:37" s="2152" customFormat="1" ht="27.75" thickBot="1">
      <c r="A19" s="2196" t="s">
        <v>628</v>
      </c>
      <c r="B19" s="2197" t="s">
        <v>2465</v>
      </c>
      <c r="C19" s="845" t="e">
        <f>ROUND(IF(H19="按公示增长率计算",SUMPRODUCT((地价!A3:A37=YEAR(G19)&amp;"-"&amp;ROUNDUP(MONTH(G19)/3,0))*(地价!X2:AB2=E2)*(地价!X3:AB37)),IF(H19="地价指数",M20/M19,(1+I19)^O19)),4)</f>
        <v>#VALUE!</v>
      </c>
      <c r="D19" s="2201" t="s">
        <v>2466</v>
      </c>
      <c r="E19" s="846">
        <v>41640</v>
      </c>
      <c r="F19" s="2201" t="s">
        <v>2467</v>
      </c>
      <c r="G19" s="847">
        <f>'数据-取费表'!B2</f>
        <v>44742</v>
      </c>
      <c r="H19" s="2202"/>
      <c r="I19" s="848" t="str">
        <f>IF(H19="季度增幅（自定义）",SUMIF(N21:N24,E2,O21:O24),"")</f>
        <v/>
      </c>
      <c r="J19" s="2199"/>
      <c r="K19" s="1240"/>
      <c r="L19" s="2203" t="s">
        <v>2468</v>
      </c>
      <c r="M19" s="1449">
        <f>ROUND(SUMIF(地价!B2:F2,E2,地价!B37:F37),0)</f>
        <v>0</v>
      </c>
      <c r="N19" s="2204" t="s">
        <v>2469</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9"/>
      <c r="AH19" s="2290"/>
      <c r="AI19" s="2970"/>
      <c r="AJ19" s="2970"/>
      <c r="AK19" s="2205"/>
    </row>
    <row r="20" spans="1:37" s="2152" customFormat="1" ht="27.75" thickBot="1">
      <c r="A20" s="2206" t="s">
        <v>629</v>
      </c>
      <c r="B20" s="2207" t="s">
        <v>2470</v>
      </c>
      <c r="C20" s="850" t="e">
        <f>ROUND(POWER(1+G20,J20-I20)*(POWER(1+G20,I20)-1)/(POWER(1+G20,J20)-1),4)</f>
        <v>#DIV/0!</v>
      </c>
      <c r="D20" s="2208" t="s">
        <v>2471</v>
      </c>
      <c r="E20" s="1456">
        <f>存贷款利率!E20/100</f>
        <v>4.3499999999999997E-2</v>
      </c>
      <c r="F20" s="2208" t="s">
        <v>2463</v>
      </c>
      <c r="G20" s="854">
        <f>SUMIF(M26:P26,E2,M28:P28)</f>
        <v>0</v>
      </c>
      <c r="H20" s="2208" t="s">
        <v>2472</v>
      </c>
      <c r="I20" s="855" t="e">
        <f>SUMIF('数据-取费表'!C6:C15,E2,'数据-取费表'!F6:F15)/COUNTIF('数据-取费表'!C6:C15,E2)</f>
        <v>#DIV/0!</v>
      </c>
      <c r="J20" s="856">
        <f>IF(E2="住宅",70,IF(E2="商业",40,50))</f>
        <v>50</v>
      </c>
      <c r="K20" s="1240"/>
      <c r="L20" s="2209" t="s">
        <v>2473</v>
      </c>
      <c r="M20" s="1450">
        <f>ROUND(SUMPRODUCT((地价!A4:A37=YEAR(G19)&amp;"-"&amp;ROUNDUP(MONTH(G19)/3,0))*(地价!B2:F2=E2)*(地价!B4:F37)),0)</f>
        <v>0</v>
      </c>
      <c r="N20" s="2210" t="s">
        <v>2474</v>
      </c>
      <c r="O20" s="2211" t="s">
        <v>2475</v>
      </c>
      <c r="P20" s="2212" t="s">
        <v>2476</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2" customFormat="1" ht="15">
      <c r="A21" s="2213" t="s">
        <v>630</v>
      </c>
      <c r="B21" s="2214" t="s">
        <v>2477</v>
      </c>
      <c r="C21" s="857">
        <f>IF(B21="容积率修正",IF(G3&lt;=10,D22,J22),C23)</f>
        <v>0</v>
      </c>
      <c r="D21" s="2215"/>
      <c r="E21" s="2215"/>
      <c r="F21" s="2215"/>
      <c r="G21" s="2215"/>
      <c r="H21" s="2215"/>
      <c r="I21" s="2215"/>
      <c r="J21" s="2216"/>
      <c r="K21" s="1240"/>
      <c r="L21" s="2966"/>
      <c r="M21" s="2966"/>
      <c r="N21" s="2217" t="s">
        <v>2478</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2" customFormat="1" ht="14.25">
      <c r="A22" s="2091" t="s">
        <v>2479</v>
      </c>
      <c r="B22" s="2218" t="s">
        <v>2480</v>
      </c>
      <c r="C22" s="1487" t="s">
        <v>2481</v>
      </c>
      <c r="D22" s="1487">
        <f>IF(E22=G22,F22,IF(G3&lt;=10,ROUND(F22+(H22-F22)*(G3-E22)/(G22-E22),4),"——"))</f>
        <v>0</v>
      </c>
      <c r="E22" s="837">
        <f>ROUNDDOWN(G3,1)</f>
        <v>4.2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4.3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7" t="s">
        <v>2482</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1" t="s">
        <v>2483</v>
      </c>
      <c r="B23" s="2219" t="s">
        <v>2484</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2485</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2486</v>
      </c>
      <c r="C24" s="845">
        <f>SUMIF(A45:A88,E2,B45:B88)</f>
        <v>0</v>
      </c>
      <c r="D24" s="2198"/>
      <c r="E24" s="2225"/>
      <c r="F24" s="2225"/>
      <c r="G24" s="2225"/>
      <c r="H24" s="2225"/>
      <c r="I24" s="2225"/>
      <c r="J24" s="2226"/>
      <c r="K24" s="1240"/>
      <c r="L24" s="2966"/>
      <c r="M24" s="2966"/>
      <c r="N24" s="2227" t="s">
        <v>2487</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6" t="s">
        <v>632</v>
      </c>
      <c r="B25" s="2228" t="s">
        <v>2488</v>
      </c>
      <c r="C25" s="851"/>
      <c r="D25" s="2162"/>
      <c r="E25" s="2162"/>
      <c r="F25" s="2229"/>
      <c r="G25" s="2162"/>
      <c r="H25" s="2162"/>
      <c r="I25" s="2162"/>
      <c r="J25" s="2163"/>
      <c r="K25" s="1233"/>
      <c r="L25" s="2133"/>
      <c r="M25" s="2133"/>
      <c r="N25" s="2961" t="s">
        <v>2489</v>
      </c>
      <c r="O25" s="2962"/>
      <c r="P25" s="2963">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2490</v>
      </c>
      <c r="C26" s="2492" t="e">
        <f>IF(B21="容积率修正",E29+SUM(E33:E39),SUM(V2:V16)+SUM(E33:E39))</f>
        <v>#DIV/0!</v>
      </c>
      <c r="D26" s="2231"/>
      <c r="E26" s="2187"/>
      <c r="F26" s="2232"/>
      <c r="G26" s="2187"/>
      <c r="H26" s="2187"/>
      <c r="I26" s="2187"/>
      <c r="J26" s="2233"/>
      <c r="K26" s="1233"/>
      <c r="L26" s="2964" t="s">
        <v>2388</v>
      </c>
      <c r="M26" s="2160" t="s">
        <v>2453</v>
      </c>
      <c r="N26" s="2160" t="s">
        <v>2454</v>
      </c>
      <c r="O26" s="2160" t="s">
        <v>2455</v>
      </c>
      <c r="P26" s="2965" t="s">
        <v>2456</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2491</v>
      </c>
      <c r="C27" s="852" t="e">
        <f>E30+SUM(I33:I39)</f>
        <v>#DIV/0!</v>
      </c>
      <c r="D27" s="2235"/>
      <c r="E27" s="2236"/>
      <c r="F27" s="2237"/>
      <c r="G27" s="2236"/>
      <c r="H27" s="2236"/>
      <c r="I27" s="2236"/>
      <c r="J27" s="2238"/>
      <c r="K27" s="1233"/>
      <c r="L27" s="2193" t="s">
        <v>2460</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2492</v>
      </c>
      <c r="C28" s="2241" t="s">
        <v>2493</v>
      </c>
      <c r="D28" s="2241" t="s">
        <v>2494</v>
      </c>
      <c r="E28" s="2242" t="s">
        <v>2495</v>
      </c>
      <c r="F28" s="2243"/>
      <c r="G28" s="2175"/>
      <c r="H28" s="2175"/>
      <c r="I28" s="2175"/>
      <c r="J28" s="2176"/>
      <c r="K28" s="1233"/>
      <c r="L28" s="2194" t="s">
        <v>2463</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2496</v>
      </c>
      <c r="C29" s="180" t="e">
        <f>ROUND(C5*C18*C19*C20*C21*C24,0)</f>
        <v>#DIV/0!</v>
      </c>
      <c r="D29" s="2246"/>
      <c r="E29" s="860" t="e">
        <f>ROUND(C29*D29/10000,0)</f>
        <v>#DIV/0!</v>
      </c>
      <c r="F29" s="2247" t="s">
        <v>2497</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2498</v>
      </c>
      <c r="C30" s="193" t="e">
        <f>ROUND(IF(E2="工业",C29*M39,C29*M38),0)</f>
        <v>#DIV/0!</v>
      </c>
      <c r="D30" s="2252"/>
      <c r="E30" s="860" t="e">
        <f>ROUND(C30*D30/10000,0)</f>
        <v>#DIV/0!</v>
      </c>
      <c r="F30" s="2253" t="s">
        <v>2499</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2500</v>
      </c>
      <c r="C31" s="2258" t="s">
        <v>2501</v>
      </c>
      <c r="D31" s="2175"/>
      <c r="E31" s="2258"/>
      <c r="F31" s="2258"/>
      <c r="G31" s="2173" t="s">
        <v>2502</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2493</v>
      </c>
      <c r="D32" s="455" t="s">
        <v>2494</v>
      </c>
      <c r="E32" s="455" t="s">
        <v>2495</v>
      </c>
      <c r="F32" s="348" t="s">
        <v>2503</v>
      </c>
      <c r="G32" s="2261" t="s">
        <v>2493</v>
      </c>
      <c r="H32" s="2261" t="s">
        <v>2494</v>
      </c>
      <c r="I32" s="2261" t="s">
        <v>2495</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72"/>
      <c r="B33" s="2262" t="s">
        <v>2504</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77" t="s">
        <v>2795</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73"/>
      <c r="B34" s="2179" t="s">
        <v>2505</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73"/>
      <c r="B35" s="2179" t="s">
        <v>2506</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74"/>
      <c r="B36" s="2179" t="s">
        <v>2507</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74"/>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2508</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2509</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2510</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2511</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2512</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2456</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2617</v>
      </c>
      <c r="C41" s="348" t="e">
        <f>ROUND(POWER(1+E41,H41-G41)*(POWER(1+E41,G41)-1)/(POWER(1+E41,H41)-1),4)</f>
        <v>#DIV/0!</v>
      </c>
      <c r="D41" s="176" t="s">
        <v>2463</v>
      </c>
      <c r="E41" s="2319">
        <f>G20</f>
        <v>0</v>
      </c>
      <c r="F41" s="176" t="s">
        <v>2472</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2513</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2514</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2515</v>
      </c>
      <c r="B47" s="1486" t="s">
        <v>2516</v>
      </c>
      <c r="C47" s="1486" t="s">
        <v>2517</v>
      </c>
      <c r="D47" s="1486" t="s">
        <v>2518</v>
      </c>
      <c r="E47" s="758" t="s">
        <v>2519</v>
      </c>
      <c r="F47" s="2280" t="s">
        <v>2520</v>
      </c>
      <c r="G47" s="1486" t="s">
        <v>574</v>
      </c>
      <c r="H47" s="2281" t="s">
        <v>2521</v>
      </c>
      <c r="I47" s="1486" t="s">
        <v>2522</v>
      </c>
      <c r="J47" s="560" t="s">
        <v>2172</v>
      </c>
      <c r="K47" s="560" t="s">
        <v>2173</v>
      </c>
      <c r="L47" s="560" t="s">
        <v>2174</v>
      </c>
      <c r="M47" s="560" t="s">
        <v>2175</v>
      </c>
      <c r="N47" s="560" t="s">
        <v>2176</v>
      </c>
      <c r="AA47" s="1234"/>
      <c r="AB47" s="1234"/>
      <c r="AC47" s="1234"/>
      <c r="AD47" s="1234"/>
      <c r="AE47" s="1234"/>
      <c r="AF47" s="1234"/>
      <c r="AG47" s="1234"/>
      <c r="AH47" s="1234"/>
      <c r="AI47" s="1234"/>
      <c r="AJ47" s="1234"/>
      <c r="AK47" s="1234"/>
    </row>
    <row r="48" spans="1:37" s="1233" customFormat="1" ht="24.75">
      <c r="A48" s="2279" t="s">
        <v>2523</v>
      </c>
      <c r="B48" s="2282" t="str">
        <f>估价对象房地状况!C4</f>
        <v>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2524</v>
      </c>
      <c r="B49" s="2283" t="str">
        <f>估价对象房地状况!C18</f>
        <v>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2525</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2526</v>
      </c>
      <c r="B51" s="2284" t="s">
        <v>2527</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2528</v>
      </c>
      <c r="B52" s="2283" t="str">
        <f>估价对象房地状况!C24</f>
        <v>支路</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2529</v>
      </c>
      <c r="B53" s="2285" t="s">
        <v>2530</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2531</v>
      </c>
      <c r="B54" s="1447" t="str">
        <f>估价对象房地状况!C21</f>
        <v>好</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2532</v>
      </c>
      <c r="B55" s="2283" t="str">
        <f>估价对象房地状况!C22</f>
        <v>七通</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2533</v>
      </c>
      <c r="B56" s="2288" t="str">
        <f>估价对象房地状况!C20</f>
        <v>好</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2534</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2515</v>
      </c>
      <c r="B58" s="1486"/>
      <c r="C58" s="1486" t="s">
        <v>2517</v>
      </c>
      <c r="D58" s="1486" t="s">
        <v>2518</v>
      </c>
      <c r="E58" s="758" t="s">
        <v>2519</v>
      </c>
      <c r="F58" s="2280" t="s">
        <v>2535</v>
      </c>
      <c r="G58" s="1486" t="s">
        <v>574</v>
      </c>
      <c r="H58" s="2281" t="s">
        <v>2521</v>
      </c>
      <c r="I58" s="1486" t="s">
        <v>2522</v>
      </c>
      <c r="J58" s="560" t="s">
        <v>2172</v>
      </c>
      <c r="K58" s="560" t="s">
        <v>2173</v>
      </c>
      <c r="L58" s="560" t="s">
        <v>2174</v>
      </c>
      <c r="M58" s="560" t="s">
        <v>2175</v>
      </c>
      <c r="N58" s="560" t="s">
        <v>2176</v>
      </c>
      <c r="AA58" s="1234"/>
      <c r="AB58" s="1234"/>
      <c r="AC58" s="1234"/>
      <c r="AD58" s="1234"/>
      <c r="AE58" s="1234"/>
      <c r="AF58" s="1234"/>
      <c r="AG58" s="1234"/>
      <c r="AH58" s="1234"/>
      <c r="AI58" s="1234"/>
      <c r="AJ58" s="1234"/>
      <c r="AK58" s="1234"/>
    </row>
    <row r="59" spans="1:37" s="1233" customFormat="1" ht="24">
      <c r="A59" s="2279" t="s">
        <v>2536</v>
      </c>
      <c r="B59" s="2282" t="str">
        <f>估价对象房地状况!C17</f>
        <v>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2524</v>
      </c>
      <c r="B60" s="2283" t="str">
        <f>估价对象房地状况!C18</f>
        <v>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2525</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2526</v>
      </c>
      <c r="B62" s="2284" t="s">
        <v>2527</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2528</v>
      </c>
      <c r="B63" s="2283" t="str">
        <f>估价对象房地状况!C24</f>
        <v>支路</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2529</v>
      </c>
      <c r="B64" s="2285" t="s">
        <v>2530</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2531</v>
      </c>
      <c r="B65" s="1447" t="str">
        <f>估价对象房地状况!C21</f>
        <v>好</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2532</v>
      </c>
      <c r="B66" s="1447" t="str">
        <f>估价对象房地状况!C22</f>
        <v>七通</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2533</v>
      </c>
      <c r="B67" s="2289" t="str">
        <f>估价对象房地状况!C20</f>
        <v>好</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2537</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2515</v>
      </c>
      <c r="B69" s="1486"/>
      <c r="C69" s="1486" t="s">
        <v>2517</v>
      </c>
      <c r="D69" s="1486" t="s">
        <v>2518</v>
      </c>
      <c r="E69" s="758" t="s">
        <v>2519</v>
      </c>
      <c r="F69" s="2280" t="s">
        <v>2535</v>
      </c>
      <c r="G69" s="1486" t="s">
        <v>574</v>
      </c>
      <c r="H69" s="2281" t="s">
        <v>2521</v>
      </c>
      <c r="I69" s="1486" t="s">
        <v>2522</v>
      </c>
      <c r="J69" s="560" t="s">
        <v>2172</v>
      </c>
      <c r="K69" s="560" t="s">
        <v>2173</v>
      </c>
      <c r="L69" s="560" t="s">
        <v>2174</v>
      </c>
      <c r="M69" s="560" t="s">
        <v>2175</v>
      </c>
      <c r="N69" s="560" t="s">
        <v>2176</v>
      </c>
      <c r="AA69" s="1234"/>
      <c r="AB69" s="1234"/>
      <c r="AC69" s="1234"/>
      <c r="AD69" s="1234"/>
      <c r="AE69" s="1234"/>
      <c r="AF69" s="1234"/>
      <c r="AG69" s="1234"/>
      <c r="AH69" s="1234"/>
      <c r="AI69" s="1234"/>
      <c r="AJ69" s="1234"/>
      <c r="AK69" s="1234"/>
    </row>
    <row r="70" spans="1:37" s="1233" customFormat="1" ht="24">
      <c r="A70" s="2279" t="s">
        <v>2538</v>
      </c>
      <c r="B70" s="2282">
        <f>估价对象房地状况!C15</f>
        <v>0</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2524</v>
      </c>
      <c r="B71" s="2283" t="str">
        <f>估价对象房地状况!C18</f>
        <v>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2525</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2539</v>
      </c>
      <c r="B73" s="2283" t="str">
        <f>估价对象房地状况!C24</f>
        <v>支路</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2531</v>
      </c>
      <c r="B74" s="1447" t="str">
        <f>估价对象房地状况!C21</f>
        <v>好</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2532</v>
      </c>
      <c r="B75" s="1447" t="str">
        <f>估价对象房地状况!C22</f>
        <v>七通</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2529</v>
      </c>
      <c r="B76" s="2285" t="s">
        <v>2530</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2533</v>
      </c>
      <c r="B77" s="2282" t="str">
        <f>估价对象房地状况!C20</f>
        <v>好</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2540</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2541</v>
      </c>
      <c r="B79" s="2276">
        <f>1+E81</f>
        <v>1</v>
      </c>
      <c r="C79" s="753"/>
      <c r="D79" s="753"/>
      <c r="E79" s="754"/>
      <c r="F79" s="2278"/>
      <c r="G79" s="6"/>
      <c r="H79" s="6"/>
      <c r="I79" s="6"/>
      <c r="J79" s="7"/>
      <c r="K79" s="7"/>
      <c r="L79" s="7"/>
      <c r="M79" s="7"/>
      <c r="N79" s="7"/>
      <c r="Z79" s="2134"/>
      <c r="AA79" s="2200"/>
      <c r="AG79" s="1235"/>
      <c r="AK79" s="2200"/>
    </row>
    <row r="80" spans="1:37" ht="24.75">
      <c r="A80" s="2279" t="s">
        <v>2515</v>
      </c>
      <c r="B80" s="1486"/>
      <c r="C80" s="1486" t="s">
        <v>2517</v>
      </c>
      <c r="D80" s="1486" t="s">
        <v>2518</v>
      </c>
      <c r="E80" s="758" t="s">
        <v>2519</v>
      </c>
      <c r="F80" s="2280" t="s">
        <v>2535</v>
      </c>
      <c r="G80" s="1486" t="s">
        <v>574</v>
      </c>
      <c r="H80" s="2281" t="s">
        <v>2521</v>
      </c>
      <c r="I80" s="1486" t="s">
        <v>2522</v>
      </c>
      <c r="J80" s="560" t="s">
        <v>2172</v>
      </c>
      <c r="K80" s="560" t="s">
        <v>2173</v>
      </c>
      <c r="L80" s="560" t="s">
        <v>2174</v>
      </c>
      <c r="M80" s="560" t="s">
        <v>2175</v>
      </c>
      <c r="N80" s="560" t="s">
        <v>2176</v>
      </c>
      <c r="Z80" s="2134"/>
      <c r="AA80" s="2200"/>
      <c r="AG80" s="1235"/>
      <c r="AK80" s="2200"/>
    </row>
    <row r="81" spans="1:37" ht="24">
      <c r="A81" s="2279" t="s">
        <v>2542</v>
      </c>
      <c r="B81" s="2283">
        <f>估价对象房地状况!G15</f>
        <v>0</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14.25">
      <c r="A82" s="2279" t="s">
        <v>2524</v>
      </c>
      <c r="B82" s="2283">
        <f>估价对象房地状况!G16</f>
        <v>0</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2525</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2539</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4">
      <c r="A85" s="2279" t="s">
        <v>2531</v>
      </c>
      <c r="B85" s="1447">
        <f>估价对象房地状况!G19</f>
        <v>0</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4">
      <c r="A86" s="2279" t="s">
        <v>2532</v>
      </c>
      <c r="B86" s="1447">
        <f>估价对象房地状况!G20</f>
        <v>0</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2529</v>
      </c>
      <c r="B87" s="2285" t="s">
        <v>2543</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15" thickBot="1">
      <c r="A88" s="2287" t="s">
        <v>2544</v>
      </c>
      <c r="B88" s="2292">
        <f>估价对象房地状况!G18</f>
        <v>0</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64" t="s">
        <v>2545</v>
      </c>
      <c r="B90" s="3564"/>
      <c r="C90" s="3564"/>
      <c r="D90" s="3564"/>
      <c r="E90" s="3564"/>
      <c r="F90" s="3564"/>
      <c r="G90" s="3564"/>
      <c r="H90" s="3564"/>
      <c r="I90" s="3564"/>
      <c r="J90" s="3564"/>
      <c r="K90" s="2293"/>
      <c r="L90" s="2293"/>
      <c r="M90" s="2293"/>
      <c r="N90" s="2293"/>
    </row>
    <row r="91" spans="1:37">
      <c r="A91" s="3566" t="s">
        <v>2546</v>
      </c>
      <c r="B91" s="3566" t="s">
        <v>2547</v>
      </c>
      <c r="C91" s="2247" t="s">
        <v>2548</v>
      </c>
      <c r="D91" s="2248"/>
      <c r="E91" s="2248"/>
      <c r="F91" s="2248"/>
      <c r="G91" s="2248"/>
      <c r="H91" s="2248"/>
      <c r="I91" s="2248"/>
      <c r="J91" s="2294"/>
      <c r="K91" s="2295"/>
      <c r="L91" s="2295"/>
      <c r="M91" s="2295"/>
      <c r="N91" s="2295"/>
    </row>
    <row r="92" spans="1:37">
      <c r="A92" s="3566"/>
      <c r="B92" s="3566"/>
      <c r="C92" s="860" t="s">
        <v>2415</v>
      </c>
      <c r="D92" s="860" t="s">
        <v>2416</v>
      </c>
      <c r="E92" s="860" t="s">
        <v>2417</v>
      </c>
      <c r="F92" s="860" t="s">
        <v>2418</v>
      </c>
      <c r="G92" s="860" t="s">
        <v>2419</v>
      </c>
      <c r="H92" s="860" t="s">
        <v>2420</v>
      </c>
      <c r="I92" s="860" t="s">
        <v>2421</v>
      </c>
      <c r="J92" s="860" t="s">
        <v>2422</v>
      </c>
      <c r="K92" s="860" t="s">
        <v>2423</v>
      </c>
      <c r="L92" s="860" t="s">
        <v>2424</v>
      </c>
      <c r="M92" s="860" t="s">
        <v>2425</v>
      </c>
      <c r="N92" s="860" t="s">
        <v>2426</v>
      </c>
    </row>
    <row r="93" spans="1:37">
      <c r="A93" s="3567" t="s">
        <v>2549</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6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6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6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6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6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68"/>
      <c r="B99" s="2296" t="s">
        <v>2431</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6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67" t="s">
        <v>2550</v>
      </c>
      <c r="B101" s="2300" t="s">
        <v>2551</v>
      </c>
      <c r="C101" s="2301">
        <f>$G$3</f>
        <v>4.2699999999999996</v>
      </c>
      <c r="D101" s="2301">
        <f t="shared" ref="D101:N101" si="31">$G$3</f>
        <v>4.2699999999999996</v>
      </c>
      <c r="E101" s="2301">
        <f t="shared" si="31"/>
        <v>4.2699999999999996</v>
      </c>
      <c r="F101" s="2301">
        <f t="shared" si="31"/>
        <v>4.2699999999999996</v>
      </c>
      <c r="G101" s="2301">
        <f t="shared" si="31"/>
        <v>4.2699999999999996</v>
      </c>
      <c r="H101" s="2301">
        <f t="shared" si="31"/>
        <v>4.2699999999999996</v>
      </c>
      <c r="I101" s="2301">
        <f t="shared" si="31"/>
        <v>4.2699999999999996</v>
      </c>
      <c r="J101" s="2301">
        <f t="shared" si="31"/>
        <v>4.2699999999999996</v>
      </c>
      <c r="K101" s="2301">
        <f t="shared" si="31"/>
        <v>4.2699999999999996</v>
      </c>
      <c r="L101" s="2301">
        <f t="shared" si="31"/>
        <v>4.2699999999999996</v>
      </c>
      <c r="M101" s="2301">
        <f t="shared" si="31"/>
        <v>4.2699999999999996</v>
      </c>
      <c r="N101" s="2301">
        <f t="shared" si="31"/>
        <v>4.2699999999999996</v>
      </c>
    </row>
    <row r="102" spans="1:14">
      <c r="A102" s="3568"/>
      <c r="B102" s="2296">
        <v>1</v>
      </c>
      <c r="C102" s="2297">
        <f>1.9362/C101</f>
        <v>0.45344262295081972</v>
      </c>
      <c r="D102" s="2297">
        <f>1.9362/D101</f>
        <v>0.45344262295081972</v>
      </c>
      <c r="E102" s="2297">
        <f>1.8629/E101</f>
        <v>0.43627634660421549</v>
      </c>
      <c r="F102" s="2297">
        <f>1.8629/F101</f>
        <v>0.43627634660421549</v>
      </c>
      <c r="G102" s="2297">
        <f>1.8629/G101</f>
        <v>0.43627634660421549</v>
      </c>
      <c r="H102" s="2297">
        <f>1.8629/H101</f>
        <v>0.43627634660421549</v>
      </c>
      <c r="I102" s="2297">
        <f>1.8629/I101</f>
        <v>0.43627634660421549</v>
      </c>
      <c r="J102" s="2297">
        <f>1.942/J101</f>
        <v>0.45480093676814992</v>
      </c>
      <c r="K102" s="2297">
        <f>1.942/K101</f>
        <v>0.45480093676814992</v>
      </c>
      <c r="L102" s="2297">
        <f>1.942/L101</f>
        <v>0.45480093676814992</v>
      </c>
      <c r="M102" s="2297">
        <f>1.942/M101</f>
        <v>0.45480093676814992</v>
      </c>
      <c r="N102" s="2297">
        <f>1.942/N101</f>
        <v>0.45480093676814992</v>
      </c>
    </row>
    <row r="103" spans="1:14">
      <c r="A103" s="3568"/>
      <c r="B103" s="2296">
        <v>2</v>
      </c>
      <c r="C103" s="2297">
        <f>1.4198/C101</f>
        <v>0.33250585480093681</v>
      </c>
      <c r="D103" s="2297">
        <f>1.4198/D101</f>
        <v>0.33250585480093681</v>
      </c>
      <c r="E103" s="2297">
        <f>1.3372/E101</f>
        <v>0.31316159250585485</v>
      </c>
      <c r="F103" s="2297">
        <f>1.3372/F101</f>
        <v>0.31316159250585485</v>
      </c>
      <c r="G103" s="2297">
        <f>1.3372/G101</f>
        <v>0.31316159250585485</v>
      </c>
      <c r="H103" s="2297">
        <f>1.3372/H101</f>
        <v>0.31316159250585485</v>
      </c>
      <c r="I103" s="2297">
        <f>1.3372/I101</f>
        <v>0.31316159250585485</v>
      </c>
      <c r="J103" s="2297">
        <f>1.2799/J101</f>
        <v>0.29974238875878223</v>
      </c>
      <c r="K103" s="2297">
        <f>1.2799/K101</f>
        <v>0.29974238875878223</v>
      </c>
      <c r="L103" s="2297">
        <f>1.2799/L101</f>
        <v>0.29974238875878223</v>
      </c>
      <c r="M103" s="2297">
        <f>1.2799/M101</f>
        <v>0.29974238875878223</v>
      </c>
      <c r="N103" s="2297">
        <f>1.2799/N101</f>
        <v>0.29974238875878223</v>
      </c>
    </row>
    <row r="104" spans="1:14">
      <c r="A104" s="3568"/>
      <c r="B104" s="2296">
        <v>3</v>
      </c>
      <c r="C104" s="2297">
        <f>1.1594/C101</f>
        <v>0.27152224824355975</v>
      </c>
      <c r="D104" s="2297">
        <f>1.1594/D101</f>
        <v>0.27152224824355975</v>
      </c>
      <c r="E104" s="2297">
        <f>1.0788/E101</f>
        <v>0.25264637002341922</v>
      </c>
      <c r="F104" s="2297">
        <f>1.0788/F101</f>
        <v>0.25264637002341922</v>
      </c>
      <c r="G104" s="2297">
        <f>1.0788/G101</f>
        <v>0.25264637002341922</v>
      </c>
      <c r="H104" s="2297">
        <f>1.0788/H101</f>
        <v>0.25264637002341922</v>
      </c>
      <c r="I104" s="2297">
        <f>1.0788/I101</f>
        <v>0.25264637002341922</v>
      </c>
      <c r="J104" s="2297">
        <f>1.0072/J101</f>
        <v>0.23587822014051527</v>
      </c>
      <c r="K104" s="2297">
        <f>1.0072/K101</f>
        <v>0.23587822014051527</v>
      </c>
      <c r="L104" s="2297">
        <f>1.0072/L101</f>
        <v>0.23587822014051527</v>
      </c>
      <c r="M104" s="2297">
        <f>1.0072/M101</f>
        <v>0.23587822014051527</v>
      </c>
      <c r="N104" s="2297">
        <f>1.0072/N101</f>
        <v>0.23587822014051527</v>
      </c>
    </row>
    <row r="105" spans="1:14">
      <c r="A105" s="3568"/>
      <c r="B105" s="2296">
        <v>4</v>
      </c>
      <c r="C105" s="2297">
        <f>0.9622/C101</f>
        <v>0.22533957845433258</v>
      </c>
      <c r="D105" s="2297">
        <f>0.9622/D101</f>
        <v>0.22533957845433258</v>
      </c>
      <c r="E105" s="2297">
        <f>0.8656/E101</f>
        <v>0.20271662763466045</v>
      </c>
      <c r="F105" s="2297">
        <f>0.8656/F101</f>
        <v>0.20271662763466045</v>
      </c>
      <c r="G105" s="2297">
        <f>0.8656/G101</f>
        <v>0.20271662763466045</v>
      </c>
      <c r="H105" s="2297">
        <f>0.8656/H101</f>
        <v>0.20271662763466045</v>
      </c>
      <c r="I105" s="2297">
        <f>0.8656/I101</f>
        <v>0.20271662763466045</v>
      </c>
      <c r="J105" s="2297">
        <f>0.7525/J101</f>
        <v>0.17622950819672131</v>
      </c>
      <c r="K105" s="2297">
        <f>0.7525/K101</f>
        <v>0.17622950819672131</v>
      </c>
      <c r="L105" s="2297">
        <f>0.7525/L101</f>
        <v>0.17622950819672131</v>
      </c>
      <c r="M105" s="2297">
        <f>0.7525/M101</f>
        <v>0.17622950819672131</v>
      </c>
      <c r="N105" s="2297">
        <f>0.7525/N101</f>
        <v>0.17622950819672131</v>
      </c>
    </row>
    <row r="106" spans="1:14">
      <c r="A106" s="3568"/>
      <c r="B106" s="2296">
        <v>5</v>
      </c>
      <c r="C106" s="2297">
        <f>0.8417/C101</f>
        <v>0.1971194379391101</v>
      </c>
      <c r="D106" s="2297">
        <f>0.8417/D101</f>
        <v>0.1971194379391101</v>
      </c>
      <c r="E106" s="2297">
        <f>0.7371/E101</f>
        <v>0.17262295081967213</v>
      </c>
      <c r="F106" s="2297">
        <f>0.7371/F101</f>
        <v>0.17262295081967213</v>
      </c>
      <c r="G106" s="2297">
        <f>0.7371/G101</f>
        <v>0.17262295081967213</v>
      </c>
      <c r="H106" s="2297">
        <f>0.7371/H101</f>
        <v>0.17262295081967213</v>
      </c>
      <c r="I106" s="2297">
        <f>0.7371/I101</f>
        <v>0.17262295081967213</v>
      </c>
      <c r="J106" s="2297">
        <f>0.5659/J101</f>
        <v>0.13252927400468384</v>
      </c>
      <c r="K106" s="2297">
        <f>0.5659/K101</f>
        <v>0.13252927400468384</v>
      </c>
      <c r="L106" s="2297">
        <f>0.5659/L101</f>
        <v>0.13252927400468384</v>
      </c>
      <c r="M106" s="2297">
        <f>0.5659/M101</f>
        <v>0.13252927400468384</v>
      </c>
      <c r="N106" s="2297">
        <f>0.5659/N101</f>
        <v>0.13252927400468384</v>
      </c>
    </row>
    <row r="107" spans="1:14">
      <c r="A107" s="3568"/>
      <c r="B107" s="2296">
        <v>6</v>
      </c>
      <c r="C107" s="2297">
        <f>0.7608/C101</f>
        <v>0.17817330210772836</v>
      </c>
      <c r="D107" s="2297">
        <f>0.7608/D101</f>
        <v>0.17817330210772836</v>
      </c>
      <c r="E107" s="2297">
        <f>0.6482/E101</f>
        <v>0.15180327868852461</v>
      </c>
      <c r="F107" s="2297">
        <f>0.6482/F101</f>
        <v>0.15180327868852461</v>
      </c>
      <c r="G107" s="2297">
        <f>0.6482/G101</f>
        <v>0.15180327868852461</v>
      </c>
      <c r="H107" s="2297">
        <f>0.6482/H101</f>
        <v>0.15180327868852461</v>
      </c>
      <c r="I107" s="2297">
        <f>0.6482/I101</f>
        <v>0.15180327868852461</v>
      </c>
      <c r="J107" s="2297">
        <f>0.4525/J101</f>
        <v>0.10597189695550353</v>
      </c>
      <c r="K107" s="2297">
        <f>0.4525/K101</f>
        <v>0.10597189695550353</v>
      </c>
      <c r="L107" s="2297">
        <f>0.4525/L101</f>
        <v>0.10597189695550353</v>
      </c>
      <c r="M107" s="2297">
        <f>0.4525/M101</f>
        <v>0.10597189695550353</v>
      </c>
      <c r="N107" s="2297">
        <f>0.4525/N101</f>
        <v>0.10597189695550353</v>
      </c>
    </row>
    <row r="108" spans="1:14">
      <c r="A108" s="3568"/>
      <c r="B108" s="3570" t="s">
        <v>2552</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69"/>
      <c r="B109" s="3571"/>
      <c r="C109" s="2299">
        <f>(-0.163*(C108^2)-0.59*C108+7617)*(10^(-4))/C101</f>
        <v>0.17838407494145203</v>
      </c>
      <c r="D109" s="2299">
        <f>(-0.163*(D108^2)-0.59*D108+7617)*(10^(-4))/D101</f>
        <v>0.17838407494145203</v>
      </c>
      <c r="E109" s="2299">
        <f>(-0.161*(E108^2)-7.509*E108+6533)*(10^(-4))/E101</f>
        <v>0.15299765807962531</v>
      </c>
      <c r="F109" s="2299">
        <f>(-0.161*(F108^2)-7.509*F108+6533)*(10^(-4))/F101</f>
        <v>0.15299765807962531</v>
      </c>
      <c r="G109" s="2299">
        <f>(-0.161*(G108^2)-7.509*G108+6533)*(10^(-4))/G101</f>
        <v>0.15299765807962531</v>
      </c>
      <c r="H109" s="2299">
        <f>(-0.161*(H108^2)-7.509*H108+6533)*(10^(-4))/H101</f>
        <v>0.15299765807962531</v>
      </c>
      <c r="I109" s="2299">
        <f>(-0.161*(I108^2)-7.509*I108+6533)*(10^(-4))/I101</f>
        <v>0.15299765807962531</v>
      </c>
      <c r="J109" s="2299">
        <f>(-0.214*(J108^2)-21.991*J108+4665)*(10^(-4))/J101</f>
        <v>0.1092505854800937</v>
      </c>
      <c r="K109" s="2299">
        <f>(-0.214*(K108^2)-21.991*K108+4665)*(10^(-4))/K101</f>
        <v>0.1092505854800937</v>
      </c>
      <c r="L109" s="2299">
        <f>(-0.214*(L108^2)-21.991*L108+4665)*(10^(-4))/L101</f>
        <v>0.1092505854800937</v>
      </c>
      <c r="M109" s="2299">
        <f>(-0.214*(M108^2)-21.991*M108+4665)*(10^(-4))/M101</f>
        <v>0.1092505854800937</v>
      </c>
      <c r="N109" s="2299">
        <f>(-0.214*(N108^2)-21.991*N108+4665)*(10^(-4))/N101</f>
        <v>0.1092505854800937</v>
      </c>
    </row>
    <row r="110" spans="1:14">
      <c r="A110" s="3565" t="s">
        <v>2553</v>
      </c>
      <c r="B110" s="3565"/>
      <c r="C110" s="3565"/>
      <c r="D110" s="3565"/>
      <c r="E110" s="3565"/>
      <c r="F110" s="3565"/>
      <c r="G110" s="3565"/>
      <c r="H110" s="3565"/>
      <c r="I110" s="3565"/>
      <c r="J110" s="3565"/>
      <c r="K110" s="2302"/>
      <c r="L110" s="2302"/>
      <c r="M110" s="2302"/>
      <c r="N110" s="2302"/>
    </row>
    <row r="112" spans="1:14" ht="13.5" thickBot="1"/>
    <row r="113" spans="1:13" ht="25.5" thickBot="1">
      <c r="A113" s="824" t="s">
        <v>2554</v>
      </c>
      <c r="B113" s="1178">
        <f>G3</f>
        <v>4.2699999999999996</v>
      </c>
      <c r="C113" s="825" t="s">
        <v>2555</v>
      </c>
      <c r="D113" s="826">
        <f>SUMPRODUCT((A115:A118=F113)*(B114:M114=H113)*B115:M118)</f>
        <v>0</v>
      </c>
      <c r="E113" s="2138" t="s">
        <v>2388</v>
      </c>
      <c r="F113" s="2304">
        <f>E2</f>
        <v>0</v>
      </c>
      <c r="G113" s="2138" t="s">
        <v>2389</v>
      </c>
      <c r="H113" s="2304">
        <f>G2</f>
        <v>0</v>
      </c>
      <c r="I113" s="2138"/>
      <c r="J113" s="2305"/>
      <c r="K113" s="2305"/>
      <c r="L113" s="2305"/>
      <c r="M113" s="2305"/>
    </row>
    <row r="114" spans="1:13">
      <c r="A114" s="829"/>
      <c r="B114" s="2306" t="s">
        <v>2556</v>
      </c>
      <c r="C114" s="2306" t="s">
        <v>2557</v>
      </c>
      <c r="D114" s="2306" t="s">
        <v>2558</v>
      </c>
      <c r="E114" s="2307" t="s">
        <v>2559</v>
      </c>
      <c r="F114" s="2307" t="s">
        <v>2560</v>
      </c>
      <c r="G114" s="2307" t="s">
        <v>2561</v>
      </c>
      <c r="H114" s="2308" t="s">
        <v>2562</v>
      </c>
      <c r="I114" s="2308" t="s">
        <v>2563</v>
      </c>
      <c r="J114" s="2309" t="s">
        <v>2564</v>
      </c>
      <c r="K114" s="2309" t="s">
        <v>2565</v>
      </c>
      <c r="L114" s="2309" t="s">
        <v>2566</v>
      </c>
      <c r="M114" s="2310" t="s">
        <v>2567</v>
      </c>
    </row>
    <row r="115" spans="1:13">
      <c r="A115" s="830" t="s">
        <v>2453</v>
      </c>
      <c r="B115" s="831">
        <f>ROUND(0.9335-0.0094*B113,4)</f>
        <v>0.89339999999999997</v>
      </c>
      <c r="C115" s="831">
        <f>B115</f>
        <v>0.89339999999999997</v>
      </c>
      <c r="D115" s="831">
        <f>ROUND(0.8331-0.0109*B113,4)</f>
        <v>0.78659999999999997</v>
      </c>
      <c r="E115" s="831">
        <f>D115</f>
        <v>0.78659999999999997</v>
      </c>
      <c r="F115" s="831">
        <f>E115</f>
        <v>0.78659999999999997</v>
      </c>
      <c r="G115" s="831">
        <f>F115</f>
        <v>0.78659999999999997</v>
      </c>
      <c r="H115" s="831">
        <f>G115</f>
        <v>0.78659999999999997</v>
      </c>
      <c r="I115" s="831">
        <f>ROUND(0.689-0.0155*B113,4)</f>
        <v>0.62280000000000002</v>
      </c>
      <c r="J115" s="831">
        <f t="shared" ref="J115:M118" si="33">I115</f>
        <v>0.62280000000000002</v>
      </c>
      <c r="K115" s="831">
        <f t="shared" si="33"/>
        <v>0.62280000000000002</v>
      </c>
      <c r="L115" s="831">
        <f t="shared" si="33"/>
        <v>0.62280000000000002</v>
      </c>
      <c r="M115" s="832">
        <f t="shared" si="33"/>
        <v>0.62280000000000002</v>
      </c>
    </row>
    <row r="116" spans="1:13">
      <c r="A116" s="830" t="s">
        <v>2454</v>
      </c>
      <c r="B116" s="831">
        <f>ROUND(0.949-0.012*B113,4)</f>
        <v>0.89780000000000004</v>
      </c>
      <c r="C116" s="831">
        <f>B116</f>
        <v>0.89780000000000004</v>
      </c>
      <c r="D116" s="831">
        <f>ROUND(0.8567-0.013*B113,4)</f>
        <v>0.80120000000000002</v>
      </c>
      <c r="E116" s="831">
        <f t="shared" ref="E116:H117" si="34">D116</f>
        <v>0.80120000000000002</v>
      </c>
      <c r="F116" s="831">
        <f t="shared" si="34"/>
        <v>0.80120000000000002</v>
      </c>
      <c r="G116" s="831">
        <f t="shared" si="34"/>
        <v>0.80120000000000002</v>
      </c>
      <c r="H116" s="831">
        <f t="shared" si="34"/>
        <v>0.80120000000000002</v>
      </c>
      <c r="I116" s="831">
        <f>ROUND(0.7694-0.014*B113,4)</f>
        <v>0.70960000000000001</v>
      </c>
      <c r="J116" s="831">
        <f t="shared" si="33"/>
        <v>0.70960000000000001</v>
      </c>
      <c r="K116" s="831">
        <f t="shared" si="33"/>
        <v>0.70960000000000001</v>
      </c>
      <c r="L116" s="831">
        <f t="shared" si="33"/>
        <v>0.70960000000000001</v>
      </c>
      <c r="M116" s="832">
        <f t="shared" si="33"/>
        <v>0.70960000000000001</v>
      </c>
    </row>
    <row r="117" spans="1:13">
      <c r="A117" s="830" t="s">
        <v>2455</v>
      </c>
      <c r="B117" s="831">
        <f>ROUND(0.8808-0.006*B113,4)</f>
        <v>0.85519999999999996</v>
      </c>
      <c r="C117" s="831">
        <f>B117</f>
        <v>0.85519999999999996</v>
      </c>
      <c r="D117" s="831">
        <f>ROUND(0.8748-0.008*B113,4)</f>
        <v>0.84060000000000001</v>
      </c>
      <c r="E117" s="831">
        <f t="shared" si="34"/>
        <v>0.84060000000000001</v>
      </c>
      <c r="F117" s="831">
        <f t="shared" si="34"/>
        <v>0.84060000000000001</v>
      </c>
      <c r="G117" s="831">
        <f t="shared" si="34"/>
        <v>0.84060000000000001</v>
      </c>
      <c r="H117" s="831">
        <f t="shared" si="34"/>
        <v>0.84060000000000001</v>
      </c>
      <c r="I117" s="831">
        <f>ROUND(0.7412-0.0095*B113,4)</f>
        <v>0.7006</v>
      </c>
      <c r="J117" s="831">
        <f t="shared" si="33"/>
        <v>0.7006</v>
      </c>
      <c r="K117" s="831">
        <f t="shared" si="33"/>
        <v>0.7006</v>
      </c>
      <c r="L117" s="831">
        <f t="shared" si="33"/>
        <v>0.7006</v>
      </c>
      <c r="M117" s="832">
        <f t="shared" si="33"/>
        <v>0.7006</v>
      </c>
    </row>
    <row r="118" spans="1:13" ht="13.5" thickBot="1">
      <c r="A118" s="670" t="s">
        <v>2456</v>
      </c>
      <c r="B118" s="833">
        <f>ROUND(0.7275-0.01*B113,4)</f>
        <v>0.68479999999999996</v>
      </c>
      <c r="C118" s="833">
        <f>B118</f>
        <v>0.68479999999999996</v>
      </c>
      <c r="D118" s="833">
        <f>ROUND(0.7043-0.012*B113,4)</f>
        <v>0.65310000000000001</v>
      </c>
      <c r="E118" s="833">
        <f>D118</f>
        <v>0.65310000000000001</v>
      </c>
      <c r="F118" s="833">
        <f>E118</f>
        <v>0.65310000000000001</v>
      </c>
      <c r="G118" s="833">
        <f>ROUND(0.6299-0.0122*B113,4)</f>
        <v>0.57779999999999998</v>
      </c>
      <c r="H118" s="833">
        <f>G118</f>
        <v>0.57779999999999998</v>
      </c>
      <c r="I118" s="833">
        <f>ROUND(0.5667-0.0136*B113,4)</f>
        <v>0.50860000000000005</v>
      </c>
      <c r="J118" s="833">
        <f t="shared" si="33"/>
        <v>0.50860000000000005</v>
      </c>
      <c r="K118" s="833">
        <f t="shared" si="33"/>
        <v>0.50860000000000005</v>
      </c>
      <c r="L118" s="833">
        <f t="shared" si="33"/>
        <v>0.50860000000000005</v>
      </c>
      <c r="M118" s="834">
        <f t="shared" si="33"/>
        <v>0.50860000000000005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2929</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2930</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2931</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2932</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2933</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2934</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2619</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2935</v>
      </c>
      <c r="B19" s="3207" t="s">
        <v>2936</v>
      </c>
      <c r="C19" s="3208" t="s">
        <v>2937</v>
      </c>
      <c r="D19" s="3209"/>
      <c r="E19" s="3203" t="s">
        <v>2938</v>
      </c>
      <c r="F19" s="803"/>
      <c r="G19" s="803"/>
    </row>
    <row r="20" spans="1:13" s="808" customFormat="1" ht="19.5" customHeight="1">
      <c r="A20" s="3595" t="s">
        <v>2939</v>
      </c>
      <c r="B20" s="3588" t="s">
        <v>2940</v>
      </c>
      <c r="C20" s="3210" t="s">
        <v>2941</v>
      </c>
      <c r="D20" s="3211"/>
      <c r="E20" s="3212">
        <v>1</v>
      </c>
      <c r="F20" s="3213" t="s">
        <v>2942</v>
      </c>
      <c r="G20" s="807"/>
      <c r="H20" s="801"/>
      <c r="I20" s="801"/>
    </row>
    <row r="21" spans="1:13" s="808" customFormat="1" ht="19.5" customHeight="1">
      <c r="A21" s="3596"/>
      <c r="B21" s="3589"/>
      <c r="C21" s="805" t="s">
        <v>2943</v>
      </c>
      <c r="D21" s="806"/>
      <c r="E21" s="3214">
        <v>1</v>
      </c>
      <c r="F21" s="3213" t="s">
        <v>2944</v>
      </c>
      <c r="G21" s="807"/>
      <c r="H21" s="801"/>
      <c r="I21" s="801"/>
    </row>
    <row r="22" spans="1:13" s="808" customFormat="1" ht="19.5" customHeight="1">
      <c r="A22" s="3596"/>
      <c r="B22" s="3589"/>
      <c r="C22" s="805" t="s">
        <v>2945</v>
      </c>
      <c r="D22" s="806"/>
      <c r="E22" s="3214">
        <v>0.9</v>
      </c>
      <c r="F22" s="3213" t="s">
        <v>2946</v>
      </c>
      <c r="G22" s="807"/>
      <c r="H22" s="801"/>
      <c r="I22" s="801"/>
    </row>
    <row r="23" spans="1:13" s="808" customFormat="1" ht="19.5" customHeight="1">
      <c r="A23" s="3596"/>
      <c r="B23" s="3589"/>
      <c r="C23" s="805" t="s">
        <v>2947</v>
      </c>
      <c r="D23" s="806"/>
      <c r="E23" s="3214">
        <v>0.9</v>
      </c>
      <c r="F23" s="3213" t="s">
        <v>2948</v>
      </c>
      <c r="G23" s="807"/>
      <c r="H23" s="801"/>
      <c r="I23" s="801"/>
    </row>
    <row r="24" spans="1:13" s="808" customFormat="1" ht="19.5" customHeight="1">
      <c r="A24" s="3596"/>
      <c r="B24" s="3589"/>
      <c r="C24" s="805" t="s">
        <v>2949</v>
      </c>
      <c r="D24" s="806"/>
      <c r="E24" s="3214">
        <v>0.8</v>
      </c>
      <c r="F24" s="3213" t="s">
        <v>2950</v>
      </c>
      <c r="G24" s="807"/>
      <c r="H24" s="801"/>
      <c r="I24" s="801"/>
    </row>
    <row r="25" spans="1:13" s="808" customFormat="1" ht="19.5" customHeight="1" thickBot="1">
      <c r="A25" s="3597"/>
      <c r="B25" s="3590"/>
      <c r="C25" s="3215" t="s">
        <v>2951</v>
      </c>
      <c r="D25" s="3216"/>
      <c r="E25" s="3217">
        <v>0.8</v>
      </c>
      <c r="F25" s="3213" t="s">
        <v>2952</v>
      </c>
      <c r="G25" s="807"/>
      <c r="H25" s="801"/>
      <c r="I25" s="801"/>
    </row>
    <row r="26" spans="1:13" s="808" customFormat="1" ht="19.5" customHeight="1" thickBot="1">
      <c r="A26" s="3218" t="s">
        <v>2953</v>
      </c>
      <c r="B26" s="3219" t="s">
        <v>2940</v>
      </c>
      <c r="C26" s="3220" t="s">
        <v>2954</v>
      </c>
      <c r="D26" s="3221"/>
      <c r="E26" s="3222">
        <v>1</v>
      </c>
      <c r="F26" s="3213" t="s">
        <v>2955</v>
      </c>
      <c r="G26" s="807"/>
      <c r="H26" s="801"/>
      <c r="I26" s="801"/>
    </row>
    <row r="27" spans="1:13" s="808" customFormat="1" ht="19.5" customHeight="1">
      <c r="A27" s="3591" t="s">
        <v>2956</v>
      </c>
      <c r="B27" s="3588" t="s">
        <v>2956</v>
      </c>
      <c r="C27" s="3210" t="s">
        <v>2957</v>
      </c>
      <c r="D27" s="3211"/>
      <c r="E27" s="3212">
        <v>1</v>
      </c>
      <c r="F27" s="3213" t="s">
        <v>2958</v>
      </c>
      <c r="G27" s="807"/>
      <c r="H27" s="801"/>
      <c r="I27" s="801"/>
    </row>
    <row r="28" spans="1:13" s="808" customFormat="1" ht="19.5" customHeight="1">
      <c r="A28" s="3592"/>
      <c r="B28" s="3589"/>
      <c r="C28" s="805" t="s">
        <v>2959</v>
      </c>
      <c r="D28" s="806"/>
      <c r="E28" s="3214">
        <v>1</v>
      </c>
      <c r="F28" s="3213" t="s">
        <v>2960</v>
      </c>
      <c r="G28" s="807"/>
      <c r="H28" s="801"/>
      <c r="I28" s="801"/>
    </row>
    <row r="29" spans="1:13" s="808" customFormat="1" ht="19.5" customHeight="1">
      <c r="A29" s="3592"/>
      <c r="B29" s="3589"/>
      <c r="C29" s="805" t="s">
        <v>2961</v>
      </c>
      <c r="D29" s="806"/>
      <c r="E29" s="3214">
        <v>0.8</v>
      </c>
      <c r="F29" s="3213" t="s">
        <v>2962</v>
      </c>
      <c r="G29" s="807"/>
      <c r="H29" s="801"/>
      <c r="I29" s="801"/>
    </row>
    <row r="30" spans="1:13" s="808" customFormat="1" ht="19.5" customHeight="1">
      <c r="A30" s="3592"/>
      <c r="B30" s="3589"/>
      <c r="C30" s="805" t="s">
        <v>2963</v>
      </c>
      <c r="D30" s="806"/>
      <c r="E30" s="3214">
        <v>0.8</v>
      </c>
      <c r="F30" s="3213" t="s">
        <v>2964</v>
      </c>
      <c r="G30" s="807"/>
      <c r="H30" s="801"/>
      <c r="I30" s="801"/>
    </row>
    <row r="31" spans="1:13" s="808" customFormat="1" ht="19.5" customHeight="1">
      <c r="A31" s="3592"/>
      <c r="B31" s="3589"/>
      <c r="C31" s="805" t="s">
        <v>2965</v>
      </c>
      <c r="D31" s="806"/>
      <c r="E31" s="3214">
        <v>0.8</v>
      </c>
      <c r="F31" s="3213" t="s">
        <v>2966</v>
      </c>
      <c r="G31" s="807"/>
      <c r="H31" s="801"/>
      <c r="I31" s="801"/>
    </row>
    <row r="32" spans="1:13" s="808" customFormat="1" ht="19.5" customHeight="1">
      <c r="A32" s="3592"/>
      <c r="B32" s="3589"/>
      <c r="C32" s="805" t="s">
        <v>2967</v>
      </c>
      <c r="D32" s="806"/>
      <c r="E32" s="3214">
        <v>0.7</v>
      </c>
      <c r="F32" s="3213" t="s">
        <v>2968</v>
      </c>
      <c r="G32" s="807"/>
      <c r="H32" s="801"/>
      <c r="I32" s="801"/>
    </row>
    <row r="33" spans="1:9" s="808" customFormat="1" ht="19.5" customHeight="1">
      <c r="A33" s="3592"/>
      <c r="B33" s="3589"/>
      <c r="C33" s="805" t="s">
        <v>2969</v>
      </c>
      <c r="D33" s="806"/>
      <c r="E33" s="3214">
        <v>0.8</v>
      </c>
      <c r="F33" s="3213" t="s">
        <v>2970</v>
      </c>
      <c r="G33" s="807"/>
      <c r="H33" s="801"/>
      <c r="I33" s="801"/>
    </row>
    <row r="34" spans="1:9" s="808" customFormat="1" ht="19.5" customHeight="1">
      <c r="A34" s="3592"/>
      <c r="B34" s="3589"/>
      <c r="C34" s="805" t="s">
        <v>2971</v>
      </c>
      <c r="D34" s="806"/>
      <c r="E34" s="3214">
        <v>0.6</v>
      </c>
      <c r="F34" s="3213" t="s">
        <v>2972</v>
      </c>
      <c r="G34" s="807"/>
      <c r="H34" s="801"/>
      <c r="I34" s="801"/>
    </row>
    <row r="35" spans="1:9" s="808" customFormat="1" ht="19.5" customHeight="1">
      <c r="A35" s="3592"/>
      <c r="B35" s="3589"/>
      <c r="C35" s="805" t="s">
        <v>2973</v>
      </c>
      <c r="D35" s="806"/>
      <c r="E35" s="3214">
        <v>0.2</v>
      </c>
      <c r="F35" s="3213" t="s">
        <v>2974</v>
      </c>
      <c r="G35" s="807"/>
      <c r="H35" s="801"/>
      <c r="I35" s="801"/>
    </row>
    <row r="36" spans="1:9" s="808" customFormat="1" ht="19.5" customHeight="1">
      <c r="A36" s="3592"/>
      <c r="B36" s="3589"/>
      <c r="C36" s="805" t="s">
        <v>2975</v>
      </c>
      <c r="D36" s="806"/>
      <c r="E36" s="3214">
        <v>0.2</v>
      </c>
      <c r="F36" s="3213" t="s">
        <v>2976</v>
      </c>
      <c r="G36" s="807"/>
      <c r="H36" s="801"/>
      <c r="I36" s="801"/>
    </row>
    <row r="37" spans="1:9" s="808" customFormat="1" ht="19.5" customHeight="1">
      <c r="A37" s="3592"/>
      <c r="B37" s="3594" t="s">
        <v>2977</v>
      </c>
      <c r="C37" s="805" t="s">
        <v>2978</v>
      </c>
      <c r="D37" s="806"/>
      <c r="E37" s="3214">
        <v>0.6</v>
      </c>
      <c r="F37" s="3213" t="s">
        <v>2979</v>
      </c>
      <c r="G37" s="807"/>
      <c r="H37" s="801"/>
      <c r="I37" s="801"/>
    </row>
    <row r="38" spans="1:9" s="808" customFormat="1" ht="19.5" customHeight="1">
      <c r="A38" s="3592"/>
      <c r="B38" s="3589"/>
      <c r="C38" s="805" t="s">
        <v>2980</v>
      </c>
      <c r="D38" s="806"/>
      <c r="E38" s="3214">
        <v>0.6</v>
      </c>
      <c r="F38" s="3213" t="s">
        <v>2981</v>
      </c>
      <c r="G38" s="807"/>
      <c r="H38" s="801"/>
      <c r="I38" s="801"/>
    </row>
    <row r="39" spans="1:9" s="808" customFormat="1" ht="19.5" customHeight="1" thickBot="1">
      <c r="A39" s="3593"/>
      <c r="B39" s="3590"/>
      <c r="C39" s="3215" t="s">
        <v>2982</v>
      </c>
      <c r="D39" s="3216"/>
      <c r="E39" s="3217">
        <v>0.6</v>
      </c>
      <c r="F39" s="3213" t="s">
        <v>2983</v>
      </c>
      <c r="G39" s="807"/>
      <c r="H39" s="801"/>
      <c r="I39" s="801"/>
    </row>
    <row r="40" spans="1:9" s="808" customFormat="1" ht="19.5" customHeight="1" thickBot="1">
      <c r="A40" s="3218" t="s">
        <v>2984</v>
      </c>
      <c r="B40" s="3219" t="s">
        <v>2984</v>
      </c>
      <c r="C40" s="3220" t="s">
        <v>2985</v>
      </c>
      <c r="D40" s="3221"/>
      <c r="E40" s="3222">
        <v>1</v>
      </c>
      <c r="F40" s="3213" t="s">
        <v>2986</v>
      </c>
      <c r="G40" s="807"/>
      <c r="H40" s="801"/>
      <c r="I40" s="801"/>
    </row>
    <row r="41" spans="1:9" s="808" customFormat="1" ht="19.5" customHeight="1">
      <c r="A41" s="3595" t="s">
        <v>2987</v>
      </c>
      <c r="B41" s="3588" t="s">
        <v>2988</v>
      </c>
      <c r="C41" s="3210" t="s">
        <v>2989</v>
      </c>
      <c r="D41" s="3211"/>
      <c r="E41" s="3212">
        <v>1</v>
      </c>
      <c r="F41" s="3213" t="s">
        <v>2990</v>
      </c>
      <c r="G41" s="807"/>
      <c r="H41" s="801"/>
      <c r="I41" s="801"/>
    </row>
    <row r="42" spans="1:9" s="808" customFormat="1" ht="19.5" customHeight="1">
      <c r="A42" s="3596"/>
      <c r="B42" s="3589"/>
      <c r="C42" s="805" t="s">
        <v>2991</v>
      </c>
      <c r="D42" s="806"/>
      <c r="E42" s="3214">
        <v>1</v>
      </c>
      <c r="F42" s="3213" t="s">
        <v>2992</v>
      </c>
      <c r="G42" s="807"/>
      <c r="H42" s="801"/>
      <c r="I42" s="801"/>
    </row>
    <row r="43" spans="1:9" s="808" customFormat="1" ht="19.5" customHeight="1">
      <c r="A43" s="3596"/>
      <c r="B43" s="3598"/>
      <c r="C43" s="805" t="s">
        <v>2993</v>
      </c>
      <c r="D43" s="806"/>
      <c r="E43" s="3214">
        <v>1.5</v>
      </c>
      <c r="F43" s="3213" t="s">
        <v>2994</v>
      </c>
      <c r="G43" s="807"/>
      <c r="H43" s="801"/>
      <c r="I43" s="801"/>
    </row>
    <row r="44" spans="1:9" s="808" customFormat="1" ht="19.5" customHeight="1">
      <c r="A44" s="3596"/>
      <c r="B44" s="3223" t="s">
        <v>2956</v>
      </c>
      <c r="C44" s="805" t="s">
        <v>2995</v>
      </c>
      <c r="D44" s="806"/>
      <c r="E44" s="3214">
        <v>2</v>
      </c>
      <c r="F44" s="3213" t="s">
        <v>2996</v>
      </c>
      <c r="G44" s="807"/>
      <c r="H44" s="801"/>
      <c r="I44" s="801"/>
    </row>
    <row r="45" spans="1:9" s="808" customFormat="1" ht="19.5" customHeight="1">
      <c r="A45" s="3596"/>
      <c r="B45" s="3594" t="s">
        <v>2997</v>
      </c>
      <c r="C45" s="805" t="s">
        <v>2998</v>
      </c>
      <c r="D45" s="806"/>
      <c r="E45" s="3214">
        <v>1</v>
      </c>
      <c r="F45" s="3213" t="s">
        <v>2999</v>
      </c>
      <c r="G45" s="807"/>
      <c r="H45" s="801"/>
      <c r="I45" s="801"/>
    </row>
    <row r="46" spans="1:9" s="808" customFormat="1" ht="19.5" customHeight="1">
      <c r="A46" s="3596"/>
      <c r="B46" s="3589"/>
      <c r="C46" s="805" t="s">
        <v>3000</v>
      </c>
      <c r="D46" s="806"/>
      <c r="E46" s="3214">
        <v>1</v>
      </c>
      <c r="F46" s="3213" t="s">
        <v>3001</v>
      </c>
      <c r="G46" s="807"/>
      <c r="H46" s="801"/>
      <c r="I46" s="801"/>
    </row>
    <row r="47" spans="1:9" s="808" customFormat="1" ht="19.5" customHeight="1">
      <c r="A47" s="3596"/>
      <c r="B47" s="3589"/>
      <c r="C47" s="805" t="s">
        <v>3002</v>
      </c>
      <c r="D47" s="806"/>
      <c r="E47" s="3214">
        <v>1</v>
      </c>
      <c r="F47" s="3213" t="s">
        <v>3003</v>
      </c>
      <c r="G47" s="807"/>
      <c r="H47" s="801"/>
      <c r="I47" s="801"/>
    </row>
    <row r="48" spans="1:9" s="808" customFormat="1" ht="19.5" customHeight="1">
      <c r="A48" s="3596"/>
      <c r="B48" s="3589"/>
      <c r="C48" s="805" t="s">
        <v>3004</v>
      </c>
      <c r="D48" s="806"/>
      <c r="E48" s="3214">
        <v>1</v>
      </c>
      <c r="F48" s="3213" t="s">
        <v>3005</v>
      </c>
      <c r="G48" s="807"/>
      <c r="H48" s="801"/>
      <c r="I48" s="801"/>
    </row>
    <row r="49" spans="1:9" s="808" customFormat="1" ht="19.5" customHeight="1">
      <c r="A49" s="3596"/>
      <c r="B49" s="3589"/>
      <c r="C49" s="805" t="s">
        <v>3006</v>
      </c>
      <c r="D49" s="806"/>
      <c r="E49" s="3214">
        <v>1</v>
      </c>
      <c r="F49" s="3213" t="s">
        <v>3007</v>
      </c>
      <c r="G49" s="807"/>
      <c r="H49" s="801"/>
      <c r="I49" s="801"/>
    </row>
    <row r="50" spans="1:9" s="808" customFormat="1" ht="19.5" customHeight="1">
      <c r="A50" s="3596"/>
      <c r="B50" s="3589"/>
      <c r="C50" s="805" t="s">
        <v>3008</v>
      </c>
      <c r="D50" s="806"/>
      <c r="E50" s="3214">
        <v>1</v>
      </c>
      <c r="F50" s="3213" t="s">
        <v>3009</v>
      </c>
      <c r="G50" s="807"/>
      <c r="H50" s="801"/>
      <c r="I50" s="801"/>
    </row>
    <row r="51" spans="1:9" s="808" customFormat="1" ht="19.5" customHeight="1" thickBot="1">
      <c r="A51" s="3597"/>
      <c r="B51" s="3590"/>
      <c r="C51" s="3215" t="s">
        <v>3010</v>
      </c>
      <c r="D51" s="3216"/>
      <c r="E51" s="3217">
        <v>1</v>
      </c>
      <c r="F51" s="3213" t="s">
        <v>3011</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3012</v>
      </c>
      <c r="D72" s="859"/>
      <c r="E72" s="816" t="s">
        <v>1</v>
      </c>
      <c r="F72" s="859" t="s">
        <v>1</v>
      </c>
    </row>
    <row r="73" spans="1:7" s="801" customFormat="1" ht="13.5">
      <c r="A73" s="3223">
        <v>1</v>
      </c>
      <c r="B73" s="3594" t="s">
        <v>3013</v>
      </c>
      <c r="C73" s="3203" t="s">
        <v>3014</v>
      </c>
      <c r="D73" s="3203" t="s">
        <v>3015</v>
      </c>
      <c r="E73" s="3224">
        <v>0.2</v>
      </c>
      <c r="F73" s="3223">
        <v>25</v>
      </c>
    </row>
    <row r="74" spans="1:7" s="801" customFormat="1" ht="24">
      <c r="A74" s="3223">
        <v>2</v>
      </c>
      <c r="B74" s="3589"/>
      <c r="C74" s="3203" t="s">
        <v>3016</v>
      </c>
      <c r="D74" s="3203" t="s">
        <v>3017</v>
      </c>
      <c r="E74" s="3224">
        <v>0.2</v>
      </c>
      <c r="F74" s="3223">
        <v>25</v>
      </c>
    </row>
    <row r="75" spans="1:7" s="801" customFormat="1" ht="24">
      <c r="A75" s="3223">
        <v>3</v>
      </c>
      <c r="B75" s="3589"/>
      <c r="C75" s="3203" t="s">
        <v>3018</v>
      </c>
      <c r="D75" s="3203" t="s">
        <v>3019</v>
      </c>
      <c r="E75" s="3224">
        <v>0.2</v>
      </c>
      <c r="F75" s="3223">
        <v>25</v>
      </c>
    </row>
    <row r="76" spans="1:7" s="801" customFormat="1" ht="13.5">
      <c r="A76" s="3223">
        <v>4</v>
      </c>
      <c r="B76" s="3589"/>
      <c r="C76" s="3203" t="s">
        <v>3020</v>
      </c>
      <c r="D76" s="3203" t="s">
        <v>3021</v>
      </c>
      <c r="E76" s="3224">
        <v>0.15</v>
      </c>
      <c r="F76" s="3223">
        <v>20</v>
      </c>
    </row>
    <row r="77" spans="1:7" s="801" customFormat="1" ht="24">
      <c r="A77" s="3223">
        <v>5</v>
      </c>
      <c r="B77" s="3589"/>
      <c r="C77" s="3203" t="s">
        <v>3022</v>
      </c>
      <c r="D77" s="3203" t="s">
        <v>3023</v>
      </c>
      <c r="E77" s="3224">
        <v>0.15</v>
      </c>
      <c r="F77" s="3223">
        <v>20</v>
      </c>
    </row>
    <row r="78" spans="1:7" s="801" customFormat="1" ht="24">
      <c r="A78" s="3223">
        <v>6</v>
      </c>
      <c r="B78" s="3589"/>
      <c r="C78" s="3203" t="s">
        <v>3024</v>
      </c>
      <c r="D78" s="3203" t="s">
        <v>3025</v>
      </c>
      <c r="E78" s="3224">
        <v>0.15</v>
      </c>
      <c r="F78" s="3223">
        <v>20</v>
      </c>
    </row>
    <row r="79" spans="1:7" s="801" customFormat="1" ht="24">
      <c r="A79" s="3223">
        <v>7</v>
      </c>
      <c r="B79" s="3589"/>
      <c r="C79" s="3203" t="s">
        <v>3026</v>
      </c>
      <c r="D79" s="3203" t="s">
        <v>3027</v>
      </c>
      <c r="E79" s="3224">
        <v>0.15</v>
      </c>
      <c r="F79" s="3223">
        <v>20</v>
      </c>
    </row>
    <row r="80" spans="1:7" s="801" customFormat="1" ht="24">
      <c r="A80" s="3223">
        <v>8</v>
      </c>
      <c r="B80" s="3589"/>
      <c r="C80" s="3203" t="s">
        <v>3028</v>
      </c>
      <c r="D80" s="3203" t="s">
        <v>3029</v>
      </c>
      <c r="E80" s="3224">
        <v>0.1</v>
      </c>
      <c r="F80" s="3223">
        <v>15</v>
      </c>
    </row>
    <row r="81" spans="1:6" s="801" customFormat="1" ht="24">
      <c r="A81" s="3223">
        <v>9</v>
      </c>
      <c r="B81" s="3589"/>
      <c r="C81" s="3203" t="s">
        <v>3030</v>
      </c>
      <c r="D81" s="3203" t="s">
        <v>3031</v>
      </c>
      <c r="E81" s="3224">
        <v>0.1</v>
      </c>
      <c r="F81" s="3223">
        <v>15</v>
      </c>
    </row>
    <row r="82" spans="1:6" s="801" customFormat="1" ht="24">
      <c r="A82" s="3223">
        <v>10</v>
      </c>
      <c r="B82" s="3589"/>
      <c r="C82" s="3203" t="s">
        <v>3032</v>
      </c>
      <c r="D82" s="3203" t="s">
        <v>3033</v>
      </c>
      <c r="E82" s="3224">
        <v>0.1</v>
      </c>
      <c r="F82" s="3223">
        <v>15</v>
      </c>
    </row>
    <row r="83" spans="1:6" s="801" customFormat="1" ht="24">
      <c r="A83" s="3223">
        <v>11</v>
      </c>
      <c r="B83" s="3589"/>
      <c r="C83" s="3203" t="s">
        <v>3034</v>
      </c>
      <c r="D83" s="3203" t="s">
        <v>3035</v>
      </c>
      <c r="E83" s="3224">
        <v>0.1</v>
      </c>
      <c r="F83" s="3223">
        <v>15</v>
      </c>
    </row>
    <row r="84" spans="1:6" s="801" customFormat="1" ht="24">
      <c r="A84" s="3223">
        <v>12</v>
      </c>
      <c r="B84" s="3589"/>
      <c r="C84" s="3203" t="s">
        <v>3036</v>
      </c>
      <c r="D84" s="3203" t="s">
        <v>3037</v>
      </c>
      <c r="E84" s="3224">
        <v>0.1</v>
      </c>
      <c r="F84" s="3223">
        <v>15</v>
      </c>
    </row>
    <row r="85" spans="1:6" s="801" customFormat="1" ht="13.5">
      <c r="A85" s="3223">
        <v>13</v>
      </c>
      <c r="B85" s="3589"/>
      <c r="C85" s="3203" t="s">
        <v>3038</v>
      </c>
      <c r="D85" s="3203" t="s">
        <v>3039</v>
      </c>
      <c r="E85" s="3224">
        <v>0.1</v>
      </c>
      <c r="F85" s="3223">
        <v>15</v>
      </c>
    </row>
    <row r="86" spans="1:6" s="801" customFormat="1" ht="13.5">
      <c r="A86" s="3223">
        <v>14</v>
      </c>
      <c r="B86" s="3589"/>
      <c r="C86" s="3203" t="s">
        <v>3040</v>
      </c>
      <c r="D86" s="3203" t="s">
        <v>3041</v>
      </c>
      <c r="E86" s="3224">
        <v>0.1</v>
      </c>
      <c r="F86" s="3223">
        <v>15</v>
      </c>
    </row>
    <row r="87" spans="1:6" s="801" customFormat="1" ht="13.5">
      <c r="A87" s="3223">
        <v>15</v>
      </c>
      <c r="B87" s="3589"/>
      <c r="C87" s="3203" t="s">
        <v>3042</v>
      </c>
      <c r="D87" s="3203" t="s">
        <v>3043</v>
      </c>
      <c r="E87" s="3224">
        <v>0.1</v>
      </c>
      <c r="F87" s="3223">
        <v>15</v>
      </c>
    </row>
    <row r="88" spans="1:6" s="801" customFormat="1" ht="24">
      <c r="A88" s="3223">
        <v>16</v>
      </c>
      <c r="B88" s="3589"/>
      <c r="C88" s="3203" t="s">
        <v>3044</v>
      </c>
      <c r="D88" s="3203" t="s">
        <v>3045</v>
      </c>
      <c r="E88" s="3224">
        <v>0.1</v>
      </c>
      <c r="F88" s="3223">
        <v>15</v>
      </c>
    </row>
    <row r="89" spans="1:6" s="801" customFormat="1" ht="24">
      <c r="A89" s="3223">
        <v>17</v>
      </c>
      <c r="B89" s="3598"/>
      <c r="C89" s="3203" t="s">
        <v>3046</v>
      </c>
      <c r="D89" s="3203" t="s">
        <v>3047</v>
      </c>
      <c r="E89" s="3224">
        <v>0.1</v>
      </c>
      <c r="F89" s="3223">
        <v>15</v>
      </c>
    </row>
    <row r="90" spans="1:6" s="801" customFormat="1" ht="13.5">
      <c r="A90" s="3223">
        <v>18</v>
      </c>
      <c r="B90" s="3594" t="s">
        <v>3048</v>
      </c>
      <c r="C90" s="3203" t="s">
        <v>3049</v>
      </c>
      <c r="D90" s="3203" t="s">
        <v>3050</v>
      </c>
      <c r="E90" s="3224">
        <v>0.2</v>
      </c>
      <c r="F90" s="3223">
        <v>25</v>
      </c>
    </row>
    <row r="91" spans="1:6" s="801" customFormat="1" ht="24">
      <c r="A91" s="3223">
        <v>19</v>
      </c>
      <c r="B91" s="3589"/>
      <c r="C91" s="3203" t="s">
        <v>3051</v>
      </c>
      <c r="D91" s="3203" t="s">
        <v>3052</v>
      </c>
      <c r="E91" s="3224">
        <v>0.2</v>
      </c>
      <c r="F91" s="3223">
        <v>25</v>
      </c>
    </row>
    <row r="92" spans="1:6" s="801" customFormat="1" ht="13.5">
      <c r="A92" s="3223">
        <v>20</v>
      </c>
      <c r="B92" s="3589"/>
      <c r="C92" s="3203" t="s">
        <v>3053</v>
      </c>
      <c r="D92" s="3203" t="s">
        <v>3054</v>
      </c>
      <c r="E92" s="3224">
        <v>0.15</v>
      </c>
      <c r="F92" s="3223">
        <v>20</v>
      </c>
    </row>
    <row r="93" spans="1:6" s="801" customFormat="1" ht="24">
      <c r="A93" s="3223">
        <v>21</v>
      </c>
      <c r="B93" s="3589"/>
      <c r="C93" s="3203" t="s">
        <v>3055</v>
      </c>
      <c r="D93" s="3203" t="s">
        <v>3056</v>
      </c>
      <c r="E93" s="3224">
        <v>0.15</v>
      </c>
      <c r="F93" s="3223">
        <v>20</v>
      </c>
    </row>
    <row r="94" spans="1:6" s="801" customFormat="1" ht="24">
      <c r="A94" s="3223">
        <v>22</v>
      </c>
      <c r="B94" s="3589"/>
      <c r="C94" s="3203" t="s">
        <v>3057</v>
      </c>
      <c r="D94" s="3203" t="s">
        <v>3058</v>
      </c>
      <c r="E94" s="3224">
        <v>0.15</v>
      </c>
      <c r="F94" s="3223">
        <v>20</v>
      </c>
    </row>
    <row r="95" spans="1:6" s="801" customFormat="1" ht="36">
      <c r="A95" s="3223">
        <v>23</v>
      </c>
      <c r="B95" s="3589"/>
      <c r="C95" s="3203" t="s">
        <v>3059</v>
      </c>
      <c r="D95" s="3203" t="s">
        <v>3060</v>
      </c>
      <c r="E95" s="3224">
        <v>0.15</v>
      </c>
      <c r="F95" s="3223">
        <v>20</v>
      </c>
    </row>
    <row r="96" spans="1:6" s="801" customFormat="1" ht="13.5">
      <c r="A96" s="3223">
        <v>24</v>
      </c>
      <c r="B96" s="3589"/>
      <c r="C96" s="3203" t="s">
        <v>3061</v>
      </c>
      <c r="D96" s="3203" t="s">
        <v>3062</v>
      </c>
      <c r="E96" s="3224">
        <v>0.1</v>
      </c>
      <c r="F96" s="3223">
        <v>15</v>
      </c>
    </row>
    <row r="97" spans="1:6" s="801" customFormat="1" ht="24">
      <c r="A97" s="3223">
        <v>25</v>
      </c>
      <c r="B97" s="3589"/>
      <c r="C97" s="3203" t="s">
        <v>3063</v>
      </c>
      <c r="D97" s="3203" t="s">
        <v>3064</v>
      </c>
      <c r="E97" s="3224">
        <v>0.1</v>
      </c>
      <c r="F97" s="3223">
        <v>15</v>
      </c>
    </row>
    <row r="98" spans="1:6" s="801" customFormat="1" ht="24">
      <c r="A98" s="3223">
        <v>26</v>
      </c>
      <c r="B98" s="3589"/>
      <c r="C98" s="3203" t="s">
        <v>3065</v>
      </c>
      <c r="D98" s="3203" t="s">
        <v>3066</v>
      </c>
      <c r="E98" s="3224">
        <v>0.1</v>
      </c>
      <c r="F98" s="3223">
        <v>15</v>
      </c>
    </row>
    <row r="99" spans="1:6" s="801" customFormat="1" ht="24">
      <c r="A99" s="3223">
        <v>27</v>
      </c>
      <c r="B99" s="3589"/>
      <c r="C99" s="3203" t="s">
        <v>3067</v>
      </c>
      <c r="D99" s="3203" t="s">
        <v>3068</v>
      </c>
      <c r="E99" s="3224">
        <v>0.1</v>
      </c>
      <c r="F99" s="3223">
        <v>15</v>
      </c>
    </row>
    <row r="100" spans="1:6" s="801" customFormat="1" ht="24">
      <c r="A100" s="3223">
        <v>28</v>
      </c>
      <c r="B100" s="3589"/>
      <c r="C100" s="3203" t="s">
        <v>3069</v>
      </c>
      <c r="D100" s="3203" t="s">
        <v>3070</v>
      </c>
      <c r="E100" s="3224">
        <v>0.1</v>
      </c>
      <c r="F100" s="3223">
        <v>15</v>
      </c>
    </row>
    <row r="101" spans="1:6" s="801" customFormat="1" ht="24">
      <c r="A101" s="3223">
        <v>29</v>
      </c>
      <c r="B101" s="3589"/>
      <c r="C101" s="3203" t="s">
        <v>3071</v>
      </c>
      <c r="D101" s="3203" t="s">
        <v>3072</v>
      </c>
      <c r="E101" s="3224">
        <v>0.1</v>
      </c>
      <c r="F101" s="3223">
        <v>15</v>
      </c>
    </row>
    <row r="102" spans="1:6" s="801" customFormat="1" ht="24">
      <c r="A102" s="3223">
        <v>30</v>
      </c>
      <c r="B102" s="3589"/>
      <c r="C102" s="3203" t="s">
        <v>3073</v>
      </c>
      <c r="D102" s="3203" t="s">
        <v>3074</v>
      </c>
      <c r="E102" s="3224">
        <v>0.1</v>
      </c>
      <c r="F102" s="3223">
        <v>15</v>
      </c>
    </row>
    <row r="103" spans="1:6" s="801" customFormat="1" ht="24">
      <c r="A103" s="3223">
        <v>31</v>
      </c>
      <c r="B103" s="3589"/>
      <c r="C103" s="3203" t="s">
        <v>3075</v>
      </c>
      <c r="D103" s="3203" t="s">
        <v>3076</v>
      </c>
      <c r="E103" s="3224">
        <v>0.1</v>
      </c>
      <c r="F103" s="3223">
        <v>15</v>
      </c>
    </row>
    <row r="104" spans="1:6" s="801" customFormat="1" ht="24">
      <c r="A104" s="3223">
        <v>32</v>
      </c>
      <c r="B104" s="3589"/>
      <c r="C104" s="3203" t="s">
        <v>3077</v>
      </c>
      <c r="D104" s="3203" t="s">
        <v>3078</v>
      </c>
      <c r="E104" s="3224">
        <v>0.1</v>
      </c>
      <c r="F104" s="3223">
        <v>15</v>
      </c>
    </row>
    <row r="105" spans="1:6" s="801" customFormat="1" ht="24">
      <c r="A105" s="3223">
        <v>33</v>
      </c>
      <c r="B105" s="3589"/>
      <c r="C105" s="3203" t="s">
        <v>3079</v>
      </c>
      <c r="D105" s="3203" t="s">
        <v>3080</v>
      </c>
      <c r="E105" s="3224">
        <v>0.1</v>
      </c>
      <c r="F105" s="3223">
        <v>15</v>
      </c>
    </row>
    <row r="106" spans="1:6" s="801" customFormat="1" ht="24">
      <c r="A106" s="3223">
        <v>34</v>
      </c>
      <c r="B106" s="3598"/>
      <c r="C106" s="3203" t="s">
        <v>3081</v>
      </c>
      <c r="D106" s="3203" t="s">
        <v>3082</v>
      </c>
      <c r="E106" s="3224">
        <v>0.1</v>
      </c>
      <c r="F106" s="3223">
        <v>15</v>
      </c>
    </row>
    <row r="107" spans="1:6" s="801" customFormat="1" ht="24">
      <c r="A107" s="3223">
        <v>35</v>
      </c>
      <c r="B107" s="3594" t="s">
        <v>3083</v>
      </c>
      <c r="C107" s="3223" t="s">
        <v>3084</v>
      </c>
      <c r="D107" s="3203" t="s">
        <v>3085</v>
      </c>
      <c r="E107" s="3224">
        <v>0.15</v>
      </c>
      <c r="F107" s="3223">
        <v>20</v>
      </c>
    </row>
    <row r="108" spans="1:6" s="801" customFormat="1" ht="24">
      <c r="A108" s="3223">
        <v>36</v>
      </c>
      <c r="B108" s="3589"/>
      <c r="C108" s="3223" t="s">
        <v>3086</v>
      </c>
      <c r="D108" s="3203" t="s">
        <v>3087</v>
      </c>
      <c r="E108" s="3224">
        <v>0.15</v>
      </c>
      <c r="F108" s="3223">
        <v>20</v>
      </c>
    </row>
    <row r="109" spans="1:6" s="801" customFormat="1" ht="24">
      <c r="A109" s="3223">
        <v>37</v>
      </c>
      <c r="B109" s="3589"/>
      <c r="C109" s="3223" t="s">
        <v>3088</v>
      </c>
      <c r="D109" s="3203" t="s">
        <v>3089</v>
      </c>
      <c r="E109" s="3224">
        <v>0.15</v>
      </c>
      <c r="F109" s="3223">
        <v>20</v>
      </c>
    </row>
    <row r="110" spans="1:6" s="801" customFormat="1" ht="13.5">
      <c r="A110" s="3223">
        <v>38</v>
      </c>
      <c r="B110" s="3589"/>
      <c r="C110" s="3223" t="s">
        <v>3090</v>
      </c>
      <c r="D110" s="3203" t="s">
        <v>3091</v>
      </c>
      <c r="E110" s="3224">
        <v>0.1</v>
      </c>
      <c r="F110" s="3223">
        <v>15</v>
      </c>
    </row>
    <row r="111" spans="1:6" s="801" customFormat="1" ht="24">
      <c r="A111" s="3223">
        <v>39</v>
      </c>
      <c r="B111" s="3589"/>
      <c r="C111" s="3223" t="s">
        <v>3092</v>
      </c>
      <c r="D111" s="3203" t="s">
        <v>3093</v>
      </c>
      <c r="E111" s="3224">
        <v>0.1</v>
      </c>
      <c r="F111" s="3223">
        <v>15</v>
      </c>
    </row>
    <row r="112" spans="1:6" s="801" customFormat="1" ht="24">
      <c r="A112" s="3223">
        <v>40</v>
      </c>
      <c r="B112" s="3598"/>
      <c r="C112" s="3223" t="s">
        <v>3094</v>
      </c>
      <c r="D112" s="3203" t="s">
        <v>3095</v>
      </c>
      <c r="E112" s="3224">
        <v>0.1</v>
      </c>
      <c r="F112" s="3223">
        <v>15</v>
      </c>
    </row>
    <row r="113" spans="1:6" s="801" customFormat="1" ht="24">
      <c r="A113" s="3223">
        <v>41</v>
      </c>
      <c r="B113" s="3599" t="s">
        <v>3096</v>
      </c>
      <c r="C113" s="3223" t="s">
        <v>3097</v>
      </c>
      <c r="D113" s="3203" t="s">
        <v>3098</v>
      </c>
      <c r="E113" s="3224">
        <v>0.1</v>
      </c>
      <c r="F113" s="3223">
        <v>15</v>
      </c>
    </row>
    <row r="114" spans="1:6" s="801" customFormat="1" ht="13.5">
      <c r="A114" s="3223">
        <v>42</v>
      </c>
      <c r="B114" s="3599"/>
      <c r="C114" s="3223" t="s">
        <v>3099</v>
      </c>
      <c r="D114" s="3203" t="s">
        <v>3100</v>
      </c>
      <c r="E114" s="3224">
        <v>0.1</v>
      </c>
      <c r="F114" s="3223">
        <v>15</v>
      </c>
    </row>
    <row r="115" spans="1:6" s="801" customFormat="1" ht="24">
      <c r="A115" s="3223">
        <v>43</v>
      </c>
      <c r="B115" s="3599"/>
      <c r="C115" s="3223" t="s">
        <v>3101</v>
      </c>
      <c r="D115" s="3203" t="s">
        <v>3102</v>
      </c>
      <c r="E115" s="3224">
        <v>0.1</v>
      </c>
      <c r="F115" s="3223">
        <v>15</v>
      </c>
    </row>
    <row r="116" spans="1:6" s="801" customFormat="1" ht="24">
      <c r="A116" s="3223">
        <v>44</v>
      </c>
      <c r="B116" s="3594" t="s">
        <v>3103</v>
      </c>
      <c r="C116" s="3223" t="s">
        <v>3104</v>
      </c>
      <c r="D116" s="3203" t="s">
        <v>3105</v>
      </c>
      <c r="E116" s="3224">
        <v>0.1</v>
      </c>
      <c r="F116" s="3223">
        <v>15</v>
      </c>
    </row>
    <row r="117" spans="1:6" s="801" customFormat="1" ht="24">
      <c r="A117" s="3223">
        <v>45</v>
      </c>
      <c r="B117" s="3598"/>
      <c r="C117" s="3203" t="s">
        <v>3106</v>
      </c>
      <c r="D117" s="3203" t="s">
        <v>3107</v>
      </c>
      <c r="E117" s="3224">
        <v>0.1</v>
      </c>
      <c r="F117" s="3223">
        <v>15</v>
      </c>
    </row>
    <row r="118" spans="1:6" s="801" customFormat="1" ht="24">
      <c r="A118" s="3223">
        <v>46</v>
      </c>
      <c r="B118" s="3594" t="s">
        <v>3108</v>
      </c>
      <c r="C118" s="3223" t="s">
        <v>3109</v>
      </c>
      <c r="D118" s="3203" t="s">
        <v>3110</v>
      </c>
      <c r="E118" s="3224">
        <v>0.1</v>
      </c>
      <c r="F118" s="3223">
        <v>15</v>
      </c>
    </row>
    <row r="119" spans="1:6" s="801" customFormat="1" ht="24">
      <c r="A119" s="3223">
        <v>47</v>
      </c>
      <c r="B119" s="3598"/>
      <c r="C119" s="3223" t="s">
        <v>3111</v>
      </c>
      <c r="D119" s="3203" t="s">
        <v>3112</v>
      </c>
      <c r="E119" s="3224">
        <v>0.1</v>
      </c>
      <c r="F119" s="3223">
        <v>15</v>
      </c>
    </row>
    <row r="120" spans="1:6" s="801" customFormat="1" ht="24">
      <c r="A120" s="3223">
        <v>48</v>
      </c>
      <c r="B120" s="3594" t="s">
        <v>3113</v>
      </c>
      <c r="C120" s="3223" t="s">
        <v>3114</v>
      </c>
      <c r="D120" s="3203" t="s">
        <v>3115</v>
      </c>
      <c r="E120" s="3224">
        <v>0.1</v>
      </c>
      <c r="F120" s="3223">
        <v>15</v>
      </c>
    </row>
    <row r="121" spans="1:6" s="801" customFormat="1" ht="13.5">
      <c r="A121" s="3223">
        <v>49</v>
      </c>
      <c r="B121" s="3598"/>
      <c r="C121" s="3223" t="s">
        <v>3116</v>
      </c>
      <c r="D121" s="3203" t="s">
        <v>3117</v>
      </c>
      <c r="E121" s="3224">
        <v>0.1</v>
      </c>
      <c r="F121" s="3223">
        <v>15</v>
      </c>
    </row>
    <row r="122" spans="1:6" s="801" customFormat="1" ht="24">
      <c r="A122" s="3223">
        <v>50</v>
      </c>
      <c r="B122" s="3599" t="s">
        <v>3118</v>
      </c>
      <c r="C122" s="3223" t="s">
        <v>3119</v>
      </c>
      <c r="D122" s="3203" t="s">
        <v>3120</v>
      </c>
      <c r="E122" s="3224">
        <v>0.1</v>
      </c>
      <c r="F122" s="3223">
        <v>15</v>
      </c>
    </row>
    <row r="123" spans="1:6" s="801" customFormat="1" ht="24">
      <c r="A123" s="3223">
        <v>51</v>
      </c>
      <c r="B123" s="3599"/>
      <c r="C123" s="3223" t="s">
        <v>3121</v>
      </c>
      <c r="D123" s="3203" t="s">
        <v>3122</v>
      </c>
      <c r="E123" s="3224">
        <v>0.1</v>
      </c>
      <c r="F123" s="3223">
        <v>15</v>
      </c>
    </row>
    <row r="124" spans="1:6" s="801" customFormat="1" ht="24">
      <c r="A124" s="3223">
        <v>52</v>
      </c>
      <c r="B124" s="3599" t="s">
        <v>3123</v>
      </c>
      <c r="C124" s="3223" t="s">
        <v>3124</v>
      </c>
      <c r="D124" s="3203" t="s">
        <v>3125</v>
      </c>
      <c r="E124" s="3224">
        <v>0.1</v>
      </c>
      <c r="F124" s="3223">
        <v>15</v>
      </c>
    </row>
    <row r="125" spans="1:6" s="801" customFormat="1" ht="24">
      <c r="A125" s="3223">
        <v>53</v>
      </c>
      <c r="B125" s="3599"/>
      <c r="C125" s="3223" t="s">
        <v>3126</v>
      </c>
      <c r="D125" s="3203" t="s">
        <v>3127</v>
      </c>
      <c r="E125" s="3224">
        <v>0.1</v>
      </c>
      <c r="F125" s="3223">
        <v>15</v>
      </c>
    </row>
    <row r="126" spans="1:6" ht="24">
      <c r="A126" s="3223">
        <v>54</v>
      </c>
      <c r="B126" s="3223" t="s">
        <v>3128</v>
      </c>
      <c r="C126" s="3223" t="s">
        <v>3129</v>
      </c>
      <c r="D126" s="3203" t="s">
        <v>3130</v>
      </c>
      <c r="E126" s="3224">
        <v>0.1</v>
      </c>
      <c r="F126" s="3223">
        <v>15</v>
      </c>
    </row>
    <row r="127" spans="1:6" ht="13.5">
      <c r="A127" s="3223">
        <v>55</v>
      </c>
      <c r="B127" s="3599" t="s">
        <v>3131</v>
      </c>
      <c r="C127" s="3223" t="s">
        <v>3132</v>
      </c>
      <c r="D127" s="3203" t="s">
        <v>3133</v>
      </c>
      <c r="E127" s="3224">
        <v>0.1</v>
      </c>
      <c r="F127" s="3223">
        <v>15</v>
      </c>
    </row>
    <row r="128" spans="1:6" ht="13.5">
      <c r="A128" s="3223">
        <v>56</v>
      </c>
      <c r="B128" s="3599"/>
      <c r="C128" s="3223" t="s">
        <v>3134</v>
      </c>
      <c r="D128" s="3203" t="s">
        <v>3135</v>
      </c>
      <c r="E128" s="3224">
        <v>0.1</v>
      </c>
      <c r="F128" s="3223">
        <v>15</v>
      </c>
    </row>
    <row r="129" spans="1:6" ht="24">
      <c r="A129" s="3223">
        <v>57</v>
      </c>
      <c r="B129" s="3599"/>
      <c r="C129" s="3223" t="s">
        <v>3136</v>
      </c>
      <c r="D129" s="3203" t="s">
        <v>3137</v>
      </c>
      <c r="E129" s="3224">
        <v>0.1</v>
      </c>
      <c r="F129" s="3223">
        <v>15</v>
      </c>
    </row>
    <row r="130" spans="1:6" ht="24">
      <c r="A130" s="3223">
        <v>58</v>
      </c>
      <c r="B130" s="3599" t="s">
        <v>3138</v>
      </c>
      <c r="C130" s="3223" t="s">
        <v>3139</v>
      </c>
      <c r="D130" s="3203" t="s">
        <v>3140</v>
      </c>
      <c r="E130" s="3224">
        <v>0.1</v>
      </c>
      <c r="F130" s="3223">
        <v>15</v>
      </c>
    </row>
    <row r="131" spans="1:6" ht="24">
      <c r="A131" s="3223">
        <v>59</v>
      </c>
      <c r="B131" s="3599"/>
      <c r="C131" s="3223" t="s">
        <v>3141</v>
      </c>
      <c r="D131" s="3203" t="s">
        <v>3142</v>
      </c>
      <c r="E131" s="3224">
        <v>0.1</v>
      </c>
      <c r="F131" s="3223">
        <v>15</v>
      </c>
    </row>
    <row r="132" spans="1:6" ht="24">
      <c r="A132" s="3223">
        <v>60</v>
      </c>
      <c r="B132" s="3594" t="s">
        <v>3143</v>
      </c>
      <c r="C132" s="3223" t="s">
        <v>3144</v>
      </c>
      <c r="D132" s="3203" t="s">
        <v>3145</v>
      </c>
      <c r="E132" s="3224">
        <v>0.1</v>
      </c>
      <c r="F132" s="3223">
        <v>15</v>
      </c>
    </row>
    <row r="133" spans="1:6" ht="24">
      <c r="A133" s="3223">
        <v>61</v>
      </c>
      <c r="B133" s="3598"/>
      <c r="C133" s="3223" t="s">
        <v>3146</v>
      </c>
      <c r="D133" s="3203" t="s">
        <v>3147</v>
      </c>
      <c r="E133" s="3224">
        <v>0.1</v>
      </c>
      <c r="F133" s="3223">
        <v>15</v>
      </c>
    </row>
    <row r="134" spans="1:6" ht="24">
      <c r="A134" s="3223">
        <v>62</v>
      </c>
      <c r="B134" s="3223" t="s">
        <v>3148</v>
      </c>
      <c r="C134" s="3223" t="s">
        <v>3149</v>
      </c>
      <c r="D134" s="3203" t="s">
        <v>3150</v>
      </c>
      <c r="E134" s="3224">
        <v>0.1</v>
      </c>
      <c r="F134" s="3223">
        <v>15</v>
      </c>
    </row>
    <row r="135" spans="1:6" ht="24">
      <c r="A135" s="3223">
        <v>63</v>
      </c>
      <c r="B135" s="3599" t="s">
        <v>3151</v>
      </c>
      <c r="C135" s="3223" t="s">
        <v>3152</v>
      </c>
      <c r="D135" s="3203" t="s">
        <v>3153</v>
      </c>
      <c r="E135" s="3224">
        <v>0.1</v>
      </c>
      <c r="F135" s="3223">
        <v>15</v>
      </c>
    </row>
    <row r="136" spans="1:6" ht="13.5">
      <c r="A136" s="3223">
        <v>64</v>
      </c>
      <c r="B136" s="3599"/>
      <c r="C136" s="3223" t="s">
        <v>3154</v>
      </c>
      <c r="D136" s="3203" t="s">
        <v>3155</v>
      </c>
      <c r="E136" s="3224">
        <v>0.1</v>
      </c>
      <c r="F136" s="3223">
        <v>15</v>
      </c>
    </row>
    <row r="137" spans="1:6" ht="24">
      <c r="A137" s="3223">
        <v>65</v>
      </c>
      <c r="B137" s="3223" t="s">
        <v>3156</v>
      </c>
      <c r="C137" s="3223" t="s">
        <v>3157</v>
      </c>
      <c r="D137" s="3203" t="s">
        <v>3158</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1341</v>
      </c>
      <c r="B1" s="1627"/>
      <c r="C1" s="1627"/>
      <c r="D1" s="1627"/>
      <c r="E1" s="1627"/>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8">
      <c r="A3" s="3278" t="str">
        <f>IF(项目基本情况!B9="房地产市场价值","估价结果一览表（市场价值不需“结果表-1”）","估价结果一览表")</f>
        <v>估价结果一览表</v>
      </c>
      <c r="B3" s="3278"/>
      <c r="C3" s="3278"/>
      <c r="D3" s="3278"/>
      <c r="E3" s="3278"/>
    </row>
    <row r="4" spans="1:5" ht="19.5" thickBot="1">
      <c r="A4" s="1629"/>
      <c r="B4" s="3276" t="s">
        <v>1350</v>
      </c>
      <c r="C4" s="3276"/>
      <c r="D4" s="3276"/>
      <c r="E4" s="1629"/>
    </row>
    <row r="5" spans="1:5" ht="16.5" thickTop="1">
      <c r="A5" s="1627"/>
      <c r="B5" s="3274" t="s">
        <v>1342</v>
      </c>
      <c r="C5" s="1630" t="s">
        <v>1343</v>
      </c>
      <c r="D5" s="940">
        <f ca="1">结果表!H101</f>
        <v>238059</v>
      </c>
      <c r="E5" s="1627"/>
    </row>
    <row r="6" spans="1:5" ht="15.75">
      <c r="A6" s="1627"/>
      <c r="B6" s="3274"/>
      <c r="C6" s="1630" t="s">
        <v>1344</v>
      </c>
      <c r="D6" s="940" t="str">
        <f ca="1">NUMBERSTRING(INT(D5*10000),2)&amp;"元整"</f>
        <v>贰拾叁亿捌仟零伍拾玖万元整</v>
      </c>
      <c r="E6" s="1627"/>
    </row>
    <row r="7" spans="1:5" ht="15.75">
      <c r="A7" s="1627"/>
      <c r="B7" s="3279"/>
      <c r="C7" s="1631" t="s">
        <v>1345</v>
      </c>
      <c r="D7" s="941">
        <f ca="1">结果表!H102</f>
        <v>40833</v>
      </c>
      <c r="E7" s="1627"/>
    </row>
    <row r="8" spans="1:5" ht="15.75">
      <c r="A8" s="1627"/>
      <c r="B8" s="3280" t="str">
        <f>结果表!E103</f>
        <v>2.估价师知悉的法定优先受偿款</v>
      </c>
      <c r="C8" s="1632" t="s">
        <v>1346</v>
      </c>
      <c r="D8" s="941">
        <f>结果表!H103</f>
        <v>0</v>
      </c>
      <c r="E8" s="1627"/>
    </row>
    <row r="9" spans="1:5" ht="15.75">
      <c r="A9" s="1627"/>
      <c r="B9" s="3282"/>
      <c r="C9" s="1630" t="s">
        <v>1344</v>
      </c>
      <c r="D9" s="940" t="str">
        <f>NUMBERSTRING(INT(D8*10000),2)&amp;"元整"</f>
        <v>零元整</v>
      </c>
      <c r="E9" s="1627"/>
    </row>
    <row r="10" spans="1:5" ht="15">
      <c r="A10" s="1627"/>
      <c r="B10" s="1633" t="s">
        <v>1349</v>
      </c>
      <c r="C10" s="1634" t="s">
        <v>1347</v>
      </c>
      <c r="D10" s="942">
        <f>结果表!H104</f>
        <v>0</v>
      </c>
      <c r="E10" s="1627"/>
    </row>
    <row r="11" spans="1:5" ht="15">
      <c r="A11" s="1627"/>
      <c r="B11" s="1633" t="s">
        <v>1351</v>
      </c>
      <c r="C11" s="1634" t="s">
        <v>1352</v>
      </c>
      <c r="D11" s="942">
        <f>结果表!H105</f>
        <v>0</v>
      </c>
      <c r="E11" s="1627"/>
    </row>
    <row r="12" spans="1:5" ht="15">
      <c r="A12" s="1627"/>
      <c r="B12" s="1633" t="s">
        <v>1353</v>
      </c>
      <c r="C12" s="1634" t="s">
        <v>1352</v>
      </c>
      <c r="D12" s="942">
        <f>结果表!H106</f>
        <v>0</v>
      </c>
      <c r="E12" s="1627"/>
    </row>
    <row r="13" spans="1:5" ht="15.75">
      <c r="A13" s="1627"/>
      <c r="B13" s="3273" t="str">
        <f>结果表!E107</f>
        <v>3.房地产抵押价值</v>
      </c>
      <c r="C13" s="1635" t="s">
        <v>1343</v>
      </c>
      <c r="D13" s="943">
        <f ca="1">结果表!H107</f>
        <v>238059</v>
      </c>
      <c r="E13" s="1627"/>
    </row>
    <row r="14" spans="1:5" ht="15.75">
      <c r="A14" s="1627"/>
      <c r="B14" s="3274"/>
      <c r="C14" s="1630" t="s">
        <v>1344</v>
      </c>
      <c r="D14" s="940" t="str">
        <f ca="1">NUMBERSTRING(INT(D13*10000),2)&amp;"元整"</f>
        <v>贰拾叁亿捌仟零伍拾玖万元整</v>
      </c>
      <c r="E14" s="1627"/>
    </row>
    <row r="15" spans="1:5" ht="15">
      <c r="A15" s="1627"/>
      <c r="B15" s="3279"/>
      <c r="C15" s="1631" t="s">
        <v>1354</v>
      </c>
      <c r="D15" s="949">
        <f ca="1">结果表!H108</f>
        <v>40833</v>
      </c>
      <c r="E15" s="1627"/>
    </row>
    <row r="16" spans="1:5" ht="15">
      <c r="A16" s="1627"/>
      <c r="B16" s="3280" t="str">
        <f>结果表!E109</f>
        <v>——</v>
      </c>
      <c r="C16" s="1635" t="s">
        <v>1355</v>
      </c>
      <c r="D16" s="1636" t="str">
        <f>结果表!H109</f>
        <v>——</v>
      </c>
      <c r="E16" s="1627"/>
    </row>
    <row r="17" spans="1:5" ht="15.75">
      <c r="A17" s="1627"/>
      <c r="B17" s="3281"/>
      <c r="C17" s="1630" t="s">
        <v>1356</v>
      </c>
      <c r="D17" s="940" t="e">
        <f>NUMBERSTRING(INT(D16*10000),2)&amp;"元整"</f>
        <v>#VALUE!</v>
      </c>
      <c r="E17" s="1627"/>
    </row>
    <row r="18" spans="1:5" ht="15">
      <c r="A18" s="1627"/>
      <c r="B18" s="3282"/>
      <c r="C18" s="1631" t="s">
        <v>1345</v>
      </c>
      <c r="D18" s="949" t="str">
        <f>结果表!H110</f>
        <v>——</v>
      </c>
      <c r="E18" s="1627"/>
    </row>
    <row r="19" spans="1:5" ht="15.75">
      <c r="A19" s="1627"/>
      <c r="B19" s="3273" t="str">
        <f>结果表!E111</f>
        <v>——</v>
      </c>
      <c r="C19" s="1635" t="s">
        <v>1343</v>
      </c>
      <c r="D19" s="941" t="str">
        <f>结果表!H111</f>
        <v>——</v>
      </c>
      <c r="E19" s="1627"/>
    </row>
    <row r="20" spans="1:5" ht="15.75">
      <c r="A20" s="1627"/>
      <c r="B20" s="3274"/>
      <c r="C20" s="1630" t="s">
        <v>1356</v>
      </c>
      <c r="D20" s="940" t="e">
        <f>NUMBERSTRING(INT(D19*10000),2)&amp;"元整"</f>
        <v>#VALUE!</v>
      </c>
      <c r="E20" s="1627"/>
    </row>
    <row r="21" spans="1:5" ht="15.75" thickBot="1">
      <c r="A21" s="1627"/>
      <c r="B21" s="3275"/>
      <c r="C21" s="1637" t="s">
        <v>1354</v>
      </c>
      <c r="D21" s="950" t="str">
        <f>结果表!H112</f>
        <v>——</v>
      </c>
      <c r="E21" s="1627"/>
    </row>
    <row r="22" spans="1:5" ht="15" thickTop="1">
      <c r="A22" s="1627"/>
      <c r="B22" s="1638" t="s">
        <v>1357</v>
      </c>
      <c r="C22" s="1627"/>
      <c r="D22" s="1627"/>
      <c r="E22" s="1627"/>
    </row>
    <row r="23" spans="1:5">
      <c r="A23" s="1627"/>
      <c r="B23" s="1627"/>
      <c r="C23" s="1627"/>
      <c r="D23" s="1627"/>
      <c r="E23" s="1627"/>
    </row>
    <row r="24" spans="1:5" ht="18.75">
      <c r="A24" s="1639"/>
      <c r="B24" s="1640" t="s">
        <v>1348</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2576</v>
      </c>
      <c r="B1" s="2313"/>
      <c r="C1" s="2313"/>
      <c r="D1" s="2313"/>
      <c r="E1" s="2313"/>
      <c r="F1" s="2971"/>
      <c r="G1" s="2971"/>
      <c r="H1" s="2971"/>
      <c r="I1" s="2971"/>
      <c r="J1" s="2971"/>
      <c r="K1" s="2971"/>
      <c r="L1" s="2971"/>
      <c r="M1" s="2971"/>
      <c r="N1" s="2971"/>
      <c r="O1" s="2971"/>
      <c r="P1" s="2971"/>
    </row>
    <row r="2" spans="1:16" ht="15.75">
      <c r="A2" s="2311" t="s">
        <v>2568</v>
      </c>
      <c r="B2" s="2775" t="e">
        <f ca="1">SUMIF(B6:B13,"&lt;&gt;#ref!",B6:B13)</f>
        <v>#DIV/0!</v>
      </c>
      <c r="C2" s="2311" t="s">
        <v>2569</v>
      </c>
      <c r="D2" s="2311" t="s">
        <v>2570</v>
      </c>
      <c r="E2" s="2785">
        <f ca="1">SUMIF(E6:E13,"&lt;&gt;#ref!",E6:E13)</f>
        <v>0</v>
      </c>
      <c r="F2" s="2971"/>
      <c r="G2" s="2971"/>
      <c r="H2" s="2971"/>
      <c r="I2" s="2971"/>
      <c r="J2" s="2971"/>
      <c r="K2" s="2971"/>
      <c r="L2" s="2971"/>
      <c r="M2" s="2971"/>
      <c r="N2" s="2971"/>
      <c r="O2" s="2971"/>
      <c r="P2" s="2971"/>
    </row>
    <row r="3" spans="1:16" ht="15.75">
      <c r="A3" s="2311" t="s">
        <v>2571</v>
      </c>
      <c r="B3" s="2775" t="e">
        <f ca="1">ROUND(B2*10000/E2,0)</f>
        <v>#DIV/0!</v>
      </c>
      <c r="C3" s="2311" t="s">
        <v>2577</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2572</v>
      </c>
      <c r="B5" s="2783" t="s">
        <v>2573</v>
      </c>
      <c r="C5" s="2312"/>
      <c r="D5" s="2971"/>
      <c r="E5" s="2784" t="s">
        <v>2574</v>
      </c>
      <c r="F5" s="2971"/>
      <c r="G5" s="2971"/>
      <c r="H5" s="2971"/>
      <c r="I5" s="2971"/>
      <c r="J5" s="2971"/>
      <c r="K5" s="2971"/>
      <c r="L5" s="2971"/>
      <c r="M5" s="2971"/>
      <c r="N5" s="2971"/>
      <c r="O5" s="2971"/>
      <c r="P5" s="2971"/>
    </row>
    <row r="6" spans="1:16" ht="15.75">
      <c r="A6" s="2782" t="s">
        <v>2575</v>
      </c>
      <c r="B6" s="2775" t="e">
        <f ca="1">SUMIF(INDIRECT("'"&amp;A6&amp;"'"&amp;"!A:A"),"总价",INDIRECT("'"&amp;A6&amp;"'"&amp;"!B:B"))</f>
        <v>#DIV/0!</v>
      </c>
      <c r="C6" s="2311" t="s">
        <v>2569</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2569</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2569</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2569</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2569</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2569</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2569</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2569</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 sqref="C1:S1"/>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05" t="s">
        <v>877</v>
      </c>
      <c r="C1" s="3605"/>
      <c r="D1" s="3605"/>
      <c r="E1" s="3605"/>
      <c r="F1" s="3605"/>
      <c r="G1" s="3601" t="s">
        <v>878</v>
      </c>
      <c r="H1" s="3601"/>
      <c r="I1" s="3601"/>
      <c r="J1" s="3601"/>
      <c r="K1" s="3601"/>
      <c r="L1" s="3601"/>
      <c r="N1" s="3601" t="s">
        <v>879</v>
      </c>
      <c r="O1" s="3601"/>
      <c r="P1" s="3601"/>
      <c r="Q1" s="3601"/>
      <c r="S1" s="3601" t="s">
        <v>880</v>
      </c>
      <c r="T1" s="3601"/>
      <c r="U1" s="3601"/>
      <c r="V1" s="3601"/>
      <c r="X1" s="3600" t="s">
        <v>881</v>
      </c>
      <c r="Y1" s="3601"/>
      <c r="Z1" s="3601"/>
      <c r="AA1" s="3601"/>
      <c r="AB1" s="3601"/>
      <c r="AD1" s="3600" t="s">
        <v>882</v>
      </c>
      <c r="AE1" s="3601"/>
      <c r="AF1" s="3601"/>
      <c r="AG1" s="3601"/>
      <c r="AH1" s="3601"/>
    </row>
    <row r="2" spans="1:34" s="2340" customFormat="1" ht="14.25" thickBot="1">
      <c r="B2" s="2341" t="s">
        <v>883</v>
      </c>
      <c r="C2" s="2341" t="s">
        <v>884</v>
      </c>
      <c r="D2" s="2342" t="s">
        <v>885</v>
      </c>
      <c r="E2" s="2342" t="s">
        <v>886</v>
      </c>
      <c r="F2" s="2341" t="s">
        <v>887</v>
      </c>
      <c r="G2" s="2343"/>
      <c r="I2" s="2341" t="s">
        <v>883</v>
      </c>
      <c r="J2" s="2342" t="s">
        <v>1105</v>
      </c>
      <c r="K2" s="2342" t="s">
        <v>572</v>
      </c>
      <c r="L2" s="2341" t="s">
        <v>887</v>
      </c>
      <c r="N2" s="2341" t="s">
        <v>883</v>
      </c>
      <c r="O2" s="2342" t="s">
        <v>1105</v>
      </c>
      <c r="P2" s="2342" t="s">
        <v>572</v>
      </c>
      <c r="Q2" s="2341" t="s">
        <v>887</v>
      </c>
      <c r="S2" s="2341" t="s">
        <v>883</v>
      </c>
      <c r="T2" s="2342" t="s">
        <v>1105</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2609</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2926</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2610</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2925</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2802</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2801</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2800</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2798</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2797</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2626</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2624</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2623</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2622</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2620</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2618</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2621</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0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2616</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0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2615</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0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2608</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1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2606</v>
      </c>
      <c r="B22" s="2388">
        <v>439</v>
      </c>
      <c r="C22" s="2388">
        <v>327</v>
      </c>
      <c r="D22" s="2388">
        <f>C22</f>
        <v>327</v>
      </c>
      <c r="E22" s="2388">
        <v>627</v>
      </c>
      <c r="F22" s="2389">
        <v>283</v>
      </c>
      <c r="G22" s="360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2607</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0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1106</v>
      </c>
      <c r="B24" s="2374">
        <f t="shared" si="199"/>
        <v>419.31181600000002</v>
      </c>
      <c r="C24" s="2374">
        <f t="shared" si="200"/>
        <v>313.95436800000004</v>
      </c>
      <c r="D24" s="2374">
        <f t="shared" si="201"/>
        <v>313.95436800000004</v>
      </c>
      <c r="E24" s="2374">
        <f t="shared" si="202"/>
        <v>596.63028431999999</v>
      </c>
      <c r="F24" s="2374">
        <f t="shared" si="203"/>
        <v>274.74220703999998</v>
      </c>
      <c r="G24" s="360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1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0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0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0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0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0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0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0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0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0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0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0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0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0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0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0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0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0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0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0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0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0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0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0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0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0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0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0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0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0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0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0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0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0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0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0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0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0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0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0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0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0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0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0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0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0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0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0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0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02">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03">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03">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04">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02">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03">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03">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04">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1" sqref="E1:F1"/>
      <selection pane="bottomLeft" activeCell="C1" sqref="C1:S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2578</v>
      </c>
      <c r="C1" s="3614" t="s">
        <v>2579</v>
      </c>
      <c r="D1" s="3615"/>
      <c r="E1" s="3615"/>
      <c r="F1" s="3615"/>
      <c r="G1" s="3615"/>
      <c r="H1" s="3615"/>
      <c r="I1" s="3615"/>
      <c r="J1" s="3615"/>
      <c r="K1" s="3615"/>
      <c r="L1" s="3615"/>
      <c r="M1" s="3615"/>
      <c r="N1" s="3615"/>
      <c r="O1" s="3615"/>
      <c r="P1" s="3615"/>
      <c r="Q1" s="3615"/>
      <c r="R1" s="3615"/>
      <c r="S1" s="3616"/>
      <c r="T1" s="1095" t="s">
        <v>2580</v>
      </c>
    </row>
    <row r="2" spans="1:45" s="663" customFormat="1">
      <c r="A2" s="1096"/>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2582</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2583</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2584</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2585</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2586</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2587</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2588</v>
      </c>
      <c r="B17" s="2315" t="s">
        <v>2589</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2590</v>
      </c>
      <c r="E19" s="1475"/>
      <c r="F19" s="1475"/>
      <c r="G19" s="1475"/>
      <c r="H19" s="1171"/>
      <c r="I19" s="164"/>
      <c r="J19" s="164"/>
      <c r="K19" s="164"/>
      <c r="L19" s="164"/>
      <c r="M19" s="164"/>
      <c r="N19" s="164"/>
      <c r="O19" s="164"/>
      <c r="P19" s="164"/>
      <c r="Q19" s="164"/>
      <c r="R19" s="727"/>
      <c r="S19" s="134"/>
    </row>
    <row r="20" spans="1:45" ht="16.5" thickBot="1">
      <c r="A20" s="671" t="s">
        <v>2591</v>
      </c>
      <c r="B20" s="300" t="e">
        <f ca="1">IF(D20="——",S22,S22-F20)</f>
        <v>#REF!</v>
      </c>
      <c r="C20" s="164"/>
      <c r="D20" s="2317"/>
      <c r="E20" s="1476"/>
      <c r="F20" s="1095" t="e">
        <f ca="1">SUMIF(INDIRECT("'"&amp;H20&amp;"'"&amp;"!A:A"),"承租人权益价值",INDIRECT("'"&amp;H20&amp;"'"&amp;"!c:c"))</f>
        <v>#REF!</v>
      </c>
      <c r="G20" s="1095" t="s">
        <v>2592</v>
      </c>
      <c r="H20" s="2318"/>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611" t="s">
        <v>33</v>
      </c>
      <c r="D22" s="3612"/>
      <c r="E22" s="3612"/>
      <c r="F22" s="3612"/>
      <c r="G22" s="3612"/>
      <c r="H22" s="3612"/>
      <c r="I22" s="3612"/>
      <c r="J22" s="3612"/>
      <c r="K22" s="3612"/>
      <c r="L22" s="3612"/>
      <c r="M22" s="3612"/>
      <c r="N22" s="3612"/>
      <c r="O22" s="3612"/>
      <c r="P22" s="3612"/>
      <c r="Q22" s="3613"/>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84881</v>
      </c>
      <c r="C2" s="2" t="s">
        <v>133</v>
      </c>
      <c r="D2" s="205"/>
      <c r="E2" s="205"/>
      <c r="F2" s="205"/>
      <c r="G2" s="205"/>
    </row>
    <row r="3" spans="1:7" s="206" customFormat="1" ht="18" customHeight="1" thickBot="1">
      <c r="A3" s="209" t="s">
        <v>85</v>
      </c>
      <c r="B3" s="210">
        <f ca="1">ROUND(B2*10000/'数据-汇总表'!E3,0)</f>
        <v>14559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1166</v>
      </c>
      <c r="D10" s="935">
        <f>'数据-汇总表'!E6</f>
        <v>58300.299999999996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1166</v>
      </c>
      <c r="D19" s="939">
        <f>'数据-汇总表'!E3</f>
        <v>58300.299999999996</v>
      </c>
      <c r="E19" s="217">
        <f>'数据-取费表'!B31</f>
        <v>200</v>
      </c>
      <c r="F19" s="237"/>
      <c r="G19" s="1" t="s">
        <v>861</v>
      </c>
    </row>
    <row r="20" spans="1:7" s="220" customFormat="1" ht="13.5" customHeight="1">
      <c r="A20" s="866" t="s">
        <v>844</v>
      </c>
      <c r="B20" s="216" t="s">
        <v>104</v>
      </c>
      <c r="C20" s="238">
        <f>ROUND((C5+C19)*F20,0)</f>
        <v>653</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2902</v>
      </c>
      <c r="D22" s="241">
        <f ca="1">C26</f>
        <v>1.9E-3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2707</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153</v>
      </c>
      <c r="D24" s="244"/>
      <c r="E24" s="244"/>
      <c r="F24" s="245"/>
      <c r="G24" s="246" t="s">
        <v>109</v>
      </c>
    </row>
    <row r="25" spans="1:7" s="220" customFormat="1" ht="24">
      <c r="A25" s="869" t="s">
        <v>612</v>
      </c>
      <c r="B25" s="221" t="s">
        <v>845</v>
      </c>
      <c r="C25" s="1218">
        <f ca="1">ROUND(IF('数据-取费表'!B22&lt;=1,C20*F22*'数据-取费表'!B23/2,C20*(POWER((1+F22),'数据-取费表'!B23/2)-1)),0)</f>
        <v>42</v>
      </c>
      <c r="D25" s="244"/>
      <c r="E25" s="247"/>
      <c r="F25" s="245"/>
      <c r="G25" s="248" t="s">
        <v>110</v>
      </c>
    </row>
    <row r="26" spans="1:7" s="220" customFormat="1">
      <c r="A26" s="869" t="s">
        <v>614</v>
      </c>
      <c r="B26" s="221" t="s">
        <v>847</v>
      </c>
      <c r="C26" s="244">
        <f ca="1">ROUND(IF('数据-取费表'!B22&lt;=1,F21*F22*'数据-取费表'!B23/2,F21*(POWER((1+F22),'数据-取费表'!B23/2)-1)),4)</f>
        <v>1.9E-3</v>
      </c>
      <c r="D26" s="244"/>
      <c r="E26" s="247"/>
      <c r="F26" s="245"/>
      <c r="G26" s="249"/>
    </row>
    <row r="27" spans="1:7" s="220" customFormat="1" ht="24.75">
      <c r="A27" s="866" t="s">
        <v>606</v>
      </c>
      <c r="B27" s="250" t="s">
        <v>112</v>
      </c>
      <c r="C27" s="251">
        <f>C28</f>
        <v>5607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5607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34100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41524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37895</v>
      </c>
      <c r="D34" s="223"/>
      <c r="E34" s="226"/>
      <c r="F34" s="263">
        <f>IF('数据-取费表'!B24=0,1,'数据-取费表'!N16)</f>
        <v>1</v>
      </c>
      <c r="G34" s="225" t="s">
        <v>116</v>
      </c>
    </row>
    <row r="35" spans="1:7" ht="13.5" customHeight="1">
      <c r="A35" s="869" t="s">
        <v>615</v>
      </c>
      <c r="B35" s="221" t="s">
        <v>60</v>
      </c>
      <c r="C35" s="226">
        <f>ROUND(C34*F35,0)</f>
        <v>1895</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1166</v>
      </c>
      <c r="D37" s="223">
        <f>'数据-汇总表'!E3</f>
        <v>58300.299999999996</v>
      </c>
      <c r="E37" s="255">
        <f>'数据-取费表'!B35</f>
        <v>200</v>
      </c>
      <c r="F37" s="265"/>
      <c r="G37" s="267" t="s">
        <v>119</v>
      </c>
    </row>
    <row r="38" spans="1:7" ht="13.5" customHeight="1">
      <c r="A38" s="869" t="s">
        <v>618</v>
      </c>
      <c r="B38" s="221" t="s">
        <v>63</v>
      </c>
      <c r="C38" s="226">
        <f>ROUND(C34*F38,0)</f>
        <v>568</v>
      </c>
      <c r="D38" s="226"/>
      <c r="E38" s="226"/>
      <c r="F38" s="265">
        <f>'数据-取费表'!B36</f>
        <v>1.4999999999999999E-2</v>
      </c>
      <c r="G38" s="225" t="s">
        <v>117</v>
      </c>
    </row>
    <row r="39" spans="1:7" s="220" customFormat="1" ht="13.5" customHeight="1">
      <c r="A39" s="866" t="s">
        <v>602</v>
      </c>
      <c r="B39" s="216" t="s">
        <v>104</v>
      </c>
      <c r="C39" s="238">
        <f>ROUND(C33*F20,0)</f>
        <v>1246</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2722</v>
      </c>
      <c r="D41" s="241">
        <f ca="1">C44</f>
        <v>1.9E-3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2643</v>
      </c>
      <c r="D42" s="244"/>
      <c r="E42" s="244"/>
      <c r="F42" s="245"/>
      <c r="G42" s="3463" t="s">
        <v>121</v>
      </c>
    </row>
    <row r="43" spans="1:7" ht="13.5" customHeight="1">
      <c r="A43" s="869" t="s">
        <v>611</v>
      </c>
      <c r="B43" s="221" t="s">
        <v>851</v>
      </c>
      <c r="C43" s="244">
        <f ca="1">ROUND(IF('数据-取费表'!B22&lt;=1,C39*F22*'数据-取费表'!B21/2,C39*(POWER((1+F22),'数据-取费表'!B21/2)-1)),0)</f>
        <v>79</v>
      </c>
      <c r="D43" s="244"/>
      <c r="E43" s="244"/>
      <c r="F43" s="245"/>
      <c r="G43" s="3464"/>
    </row>
    <row r="44" spans="1:7" ht="13.5" customHeight="1">
      <c r="A44" s="869" t="s">
        <v>612</v>
      </c>
      <c r="B44" s="221" t="s">
        <v>853</v>
      </c>
      <c r="C44" s="244">
        <f ca="1">ROUND(IF('数据-取费表'!B22&lt;=1,C40*F22*'数据-取费表'!B21/2,C40*(POWER((1+F22),'数据-取费表'!B21/2)-1)),4)</f>
        <v>1.9E-3</v>
      </c>
      <c r="D44" s="244"/>
      <c r="E44" s="244"/>
      <c r="F44" s="245"/>
      <c r="G44" s="3465"/>
    </row>
    <row r="45" spans="1:7" s="220" customFormat="1" ht="13.5" customHeight="1">
      <c r="A45" s="866" t="s">
        <v>605</v>
      </c>
      <c r="B45" s="250" t="s">
        <v>112</v>
      </c>
      <c r="C45" s="251">
        <f>C46</f>
        <v>10693</v>
      </c>
      <c r="D45" s="241">
        <f>C47</f>
        <v>7.4999999999999997E-3</v>
      </c>
      <c r="E45" s="242" t="s">
        <v>129</v>
      </c>
      <c r="F45" s="252"/>
      <c r="G45" s="253" t="s">
        <v>859</v>
      </c>
    </row>
    <row r="46" spans="1:7" s="220" customFormat="1" ht="13.5" customHeight="1">
      <c r="A46" s="869" t="s">
        <v>613</v>
      </c>
      <c r="B46" s="254" t="s">
        <v>852</v>
      </c>
      <c r="C46" s="255">
        <f>ROUND((C33+C39)*F27,0)</f>
        <v>10693</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61928</v>
      </c>
      <c r="D49" s="238"/>
      <c r="E49" s="238"/>
      <c r="F49" s="270"/>
      <c r="G49" s="240" t="s">
        <v>860</v>
      </c>
    </row>
    <row r="50" spans="1:7" s="264" customFormat="1" ht="24">
      <c r="A50" s="866" t="s">
        <v>608</v>
      </c>
      <c r="B50" s="216" t="s">
        <v>124</v>
      </c>
      <c r="C50" s="238"/>
      <c r="D50" s="238"/>
      <c r="E50" s="238"/>
      <c r="F50" s="270">
        <f>IF('数据-取费表'!B24=0,'数据-取费表'!N16,1)</f>
        <v>0.82</v>
      </c>
      <c r="G50" s="253" t="s">
        <v>125</v>
      </c>
    </row>
    <row r="51" spans="1:7" ht="16.5" customHeight="1">
      <c r="A51" s="866" t="s">
        <v>609</v>
      </c>
      <c r="B51" s="216" t="s">
        <v>132</v>
      </c>
      <c r="C51" s="238">
        <f ca="1">ROUND(C49*F50,0)</f>
        <v>50781</v>
      </c>
      <c r="D51" s="238"/>
      <c r="E51" s="238"/>
      <c r="F51" s="270"/>
      <c r="G51" s="240" t="s">
        <v>64</v>
      </c>
    </row>
    <row r="52" spans="1:7" s="214" customFormat="1" ht="16.5" thickBot="1">
      <c r="A52" s="271" t="s">
        <v>65</v>
      </c>
      <c r="B52" s="272"/>
      <c r="C52" s="273">
        <f ca="1">C31+C51</f>
        <v>84881</v>
      </c>
      <c r="D52" s="272"/>
      <c r="E52" s="272"/>
      <c r="F52" s="272"/>
      <c r="G52" s="274"/>
    </row>
    <row r="55" spans="1:7" ht="15">
      <c r="B55" s="276" t="s">
        <v>66</v>
      </c>
      <c r="C55" s="277"/>
    </row>
    <row r="56" spans="1:7">
      <c r="B56" s="279" t="s">
        <v>67</v>
      </c>
      <c r="C56" s="280">
        <f ca="1">ROUND(C51/C52,3)</f>
        <v>0.59799999999999998</v>
      </c>
    </row>
    <row r="57" spans="1:7">
      <c r="B57" s="279" t="s">
        <v>68</v>
      </c>
      <c r="C57" s="281">
        <f ca="1">1-C56</f>
        <v>0.40200000000000002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7" t="s">
        <v>156</v>
      </c>
      <c r="B1" s="3617"/>
      <c r="C1" s="3617"/>
      <c r="D1" s="3617"/>
      <c r="E1" s="3617"/>
      <c r="F1" s="361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8" t="s">
        <v>169</v>
      </c>
      <c r="B2" s="3618"/>
      <c r="C2" s="3618"/>
      <c r="D2" s="3618"/>
      <c r="E2" s="3618"/>
      <c r="F2" s="361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7" t="s">
        <v>658</v>
      </c>
      <c r="B1" s="361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3</v>
      </c>
      <c r="F1" s="1423" t="s">
        <v>1029</v>
      </c>
      <c r="G1" s="1419">
        <f ca="1">INDIRECT("d"&amp;$K$1)/100</f>
        <v>3.7000000000000005E-2</v>
      </c>
      <c r="H1" s="1423" t="s">
        <v>1059</v>
      </c>
      <c r="I1" s="1419">
        <f ca="1">F4/100</f>
        <v>1.4999999999999999E-2</v>
      </c>
      <c r="J1" s="1424">
        <f>IF(C1&gt;C13,0,MATCH(C1,C$13:C$107,-1))+IF(SUMIF(C13:C107,C1,D13:D107)=0,13,12)</f>
        <v>13</v>
      </c>
      <c r="K1" s="1424">
        <f ca="1">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44581</v>
      </c>
      <c r="D13" s="3000">
        <v>3.7</v>
      </c>
      <c r="E13" s="3000">
        <f>D13</f>
        <v>3.7</v>
      </c>
      <c r="F13" s="3000">
        <f>D13</f>
        <v>3.7</v>
      </c>
      <c r="G13" s="3000">
        <f>D13</f>
        <v>3.7</v>
      </c>
      <c r="H13" s="3000">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6">
        <v>44550</v>
      </c>
      <c r="D14" s="2995">
        <v>3.8</v>
      </c>
      <c r="E14" s="2995">
        <f>D14</f>
        <v>3.8</v>
      </c>
      <c r="F14" s="2995">
        <f>D14</f>
        <v>3.8</v>
      </c>
      <c r="G14" s="2995">
        <f>D14</f>
        <v>3.8</v>
      </c>
      <c r="H14" s="2995">
        <v>4.6500000000000004</v>
      </c>
      <c r="I14" s="2995"/>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6">
        <v>43941</v>
      </c>
      <c r="D15" s="2995">
        <v>3.85</v>
      </c>
      <c r="E15" s="2995">
        <v>3.85</v>
      </c>
      <c r="F15" s="2995">
        <v>3.85</v>
      </c>
      <c r="G15" s="2995">
        <v>3.85</v>
      </c>
      <c r="H15" s="2995">
        <v>4.6500000000000004</v>
      </c>
      <c r="I15" s="2995"/>
      <c r="J15" s="299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43881</v>
      </c>
      <c r="D16" s="2995">
        <v>4.05</v>
      </c>
      <c r="E16" s="2995">
        <v>4.05</v>
      </c>
      <c r="F16" s="2995">
        <v>4.05</v>
      </c>
      <c r="G16" s="2995">
        <v>4.05</v>
      </c>
      <c r="H16" s="2995">
        <v>4.75</v>
      </c>
      <c r="I16" s="2995"/>
      <c r="J16" s="2995"/>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43789</v>
      </c>
      <c r="D17" s="2995">
        <v>4.1500000000000004</v>
      </c>
      <c r="E17" s="2995">
        <v>4.1500000000000004</v>
      </c>
      <c r="F17" s="2995">
        <v>4.1500000000000004</v>
      </c>
      <c r="G17" s="2995">
        <v>4.1500000000000004</v>
      </c>
      <c r="H17" s="2995">
        <v>4.8</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4" t="s">
        <v>2799</v>
      </c>
      <c r="C19" s="2997">
        <v>43697</v>
      </c>
      <c r="D19" s="2998">
        <v>4.25</v>
      </c>
      <c r="E19" s="2998">
        <v>4.25</v>
      </c>
      <c r="F19" s="2998">
        <v>4.25</v>
      </c>
      <c r="G19" s="2998">
        <v>4.25</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1"/>
      <c r="B20" s="3002"/>
      <c r="C20" s="3003">
        <v>42301</v>
      </c>
      <c r="D20" s="3004">
        <v>4.3499999999999996</v>
      </c>
      <c r="E20" s="3004">
        <v>4.3499999999999996</v>
      </c>
      <c r="F20" s="3004">
        <v>4.75</v>
      </c>
      <c r="G20" s="3004">
        <v>4.75</v>
      </c>
      <c r="H20" s="3004">
        <v>4.9000000000000004</v>
      </c>
      <c r="I20" s="3004"/>
      <c r="J20" s="3004"/>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1093</v>
      </c>
      <c r="E1" s="1463" t="s">
        <v>1097</v>
      </c>
      <c r="F1" s="1464" t="s">
        <v>1101</v>
      </c>
    </row>
    <row r="2" spans="1:13" ht="20.25">
      <c r="A2" s="1470" t="s">
        <v>1094</v>
      </c>
    </row>
    <row r="3" spans="1:13" ht="16.5">
      <c r="A3" s="1471" t="s">
        <v>1095</v>
      </c>
    </row>
    <row r="4" spans="1:13" ht="14.25">
      <c r="A4" s="1461" t="s">
        <v>1096</v>
      </c>
      <c r="B4" s="1466" t="s">
        <v>1098</v>
      </c>
      <c r="C4" s="1467"/>
      <c r="D4" s="1468"/>
      <c r="E4" s="1466" t="s">
        <v>27</v>
      </c>
      <c r="F4" s="1467"/>
      <c r="G4" s="1468"/>
      <c r="H4" s="1466" t="s">
        <v>1099</v>
      </c>
      <c r="I4" s="1467"/>
      <c r="J4" s="1468"/>
      <c r="K4" s="1466" t="s">
        <v>6</v>
      </c>
      <c r="L4" s="1467"/>
      <c r="M4" s="1468"/>
    </row>
    <row r="5" spans="1:13" ht="14.25">
      <c r="A5" s="1462" t="s">
        <v>1100</v>
      </c>
      <c r="B5" s="1461" t="s">
        <v>1102</v>
      </c>
      <c r="C5" s="1461" t="s">
        <v>1103</v>
      </c>
      <c r="D5" s="1461" t="s">
        <v>1104</v>
      </c>
      <c r="E5" s="1461" t="s">
        <v>1102</v>
      </c>
      <c r="F5" s="1461" t="s">
        <v>1103</v>
      </c>
      <c r="G5" s="1461" t="s">
        <v>1104</v>
      </c>
      <c r="H5" s="1461" t="s">
        <v>1102</v>
      </c>
      <c r="I5" s="1461" t="s">
        <v>1103</v>
      </c>
      <c r="J5" s="1461" t="s">
        <v>1104</v>
      </c>
      <c r="K5" s="1461" t="s">
        <v>1102</v>
      </c>
      <c r="L5" s="1461" t="s">
        <v>1103</v>
      </c>
      <c r="M5" s="1461" t="s">
        <v>1104</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tabSelected="1" workbookViewId="0">
      <selection activeCell="I14" sqref="I14"/>
    </sheetView>
  </sheetViews>
  <sheetFormatPr defaultRowHeight="13.5"/>
  <cols>
    <col min="1" max="9" width="12.625" customWidth="1"/>
  </cols>
  <sheetData>
    <row r="1" spans="1:14" ht="14.25" customHeight="1">
      <c r="A1" s="3381" t="s">
        <v>3516</v>
      </c>
      <c r="B1" s="3265"/>
      <c r="C1" s="3265"/>
      <c r="D1" s="3391" t="s">
        <v>3517</v>
      </c>
      <c r="E1" s="3392"/>
      <c r="F1" s="3423" t="s">
        <v>3518</v>
      </c>
      <c r="G1" s="3423"/>
      <c r="H1" s="3381" t="s">
        <v>3519</v>
      </c>
      <c r="I1" s="3381"/>
    </row>
    <row r="2" spans="1:14" ht="28.5">
      <c r="A2" s="3381"/>
      <c r="B2" s="3264" t="str">
        <f>结果表!B116</f>
        <v>(规划)建筑面积</v>
      </c>
      <c r="C2" s="3264" t="str">
        <f>结果表!C116</f>
        <v>(分摊)土地面积</v>
      </c>
      <c r="D2" s="3260" t="s">
        <v>3520</v>
      </c>
      <c r="E2" s="3260" t="s">
        <v>3521</v>
      </c>
      <c r="F2" s="3260" t="s">
        <v>3520</v>
      </c>
      <c r="G2" s="3260" t="s">
        <v>3521</v>
      </c>
      <c r="H2" s="3260" t="s">
        <v>3520</v>
      </c>
      <c r="I2" s="3260" t="s">
        <v>3521</v>
      </c>
    </row>
    <row r="3" spans="1:14" s="3239" customFormat="1" ht="14.25">
      <c r="A3" s="3271" t="s">
        <v>3584</v>
      </c>
      <c r="B3" s="3271">
        <f>系统读取表!B14</f>
        <v>58300.299999999996</v>
      </c>
      <c r="C3" s="3271">
        <f>系统读取表!C14</f>
        <v>10807.05</v>
      </c>
      <c r="D3" s="3261">
        <f ca="1">结果表!D118</f>
        <v>198541</v>
      </c>
      <c r="E3" s="3261">
        <f ca="1">结果表!E118</f>
        <v>34055</v>
      </c>
      <c r="F3" s="3261">
        <f ca="1">结果表!F118</f>
        <v>39518</v>
      </c>
      <c r="G3" s="3261">
        <f ca="1">结果表!G118</f>
        <v>6778</v>
      </c>
      <c r="H3" s="3261">
        <f ca="1">结果表!H118</f>
        <v>238059</v>
      </c>
      <c r="I3" s="3261">
        <f ca="1">结果表!I118</f>
        <v>40833</v>
      </c>
      <c r="L3" s="3239">
        <f ca="1">H3</f>
        <v>238059</v>
      </c>
      <c r="M3" s="3239">
        <f>H4</f>
        <v>45296</v>
      </c>
      <c r="N3" t="e">
        <f>#REF!</f>
        <v>#REF!</v>
      </c>
    </row>
    <row r="4" spans="1:14" s="3239" customFormat="1" ht="14.25">
      <c r="A4" s="3271" t="s">
        <v>3585</v>
      </c>
      <c r="B4" s="3271">
        <f>系统读取表!B15</f>
        <v>11252.099999999986</v>
      </c>
      <c r="C4" s="3271">
        <f>系统读取表!C15</f>
        <v>2085.79</v>
      </c>
      <c r="D4" s="3261">
        <v>40359</v>
      </c>
      <c r="E4" s="3261">
        <v>35868</v>
      </c>
      <c r="F4" s="3261">
        <v>4937</v>
      </c>
      <c r="G4" s="3261">
        <v>4388</v>
      </c>
      <c r="H4" s="3261">
        <v>45296</v>
      </c>
      <c r="I4" s="3261">
        <v>40256</v>
      </c>
      <c r="L4" s="3239">
        <f ca="1">I3</f>
        <v>40833</v>
      </c>
      <c r="M4">
        <f>I4</f>
        <v>40256</v>
      </c>
      <c r="N4" t="e">
        <f>#REF!</f>
        <v>#REF!</v>
      </c>
    </row>
    <row r="5" spans="1:14">
      <c r="A5" s="3228" t="s">
        <v>3586</v>
      </c>
      <c r="B5">
        <f>SUM(B3:B4)</f>
        <v>69552.39999999998</v>
      </c>
      <c r="C5">
        <f>SUM(C3:C4)</f>
        <v>12892.84</v>
      </c>
      <c r="D5" s="3621">
        <f ca="1">D3+D4</f>
        <v>238900</v>
      </c>
      <c r="E5" s="3621"/>
      <c r="F5" s="3621">
        <f t="shared" ref="F5" ca="1" si="0">F3+F4</f>
        <v>44455</v>
      </c>
      <c r="G5" s="3621"/>
      <c r="H5" s="3621">
        <f t="shared" ref="H5" ca="1" si="1">H3+H4</f>
        <v>283355</v>
      </c>
      <c r="I5" s="3621"/>
    </row>
    <row r="6" spans="1:14">
      <c r="D6" s="3622">
        <f ca="1">D5*10000</f>
        <v>2389000000</v>
      </c>
      <c r="E6" s="3622"/>
      <c r="F6" s="3622">
        <f ca="1">F5*10000</f>
        <v>444550000</v>
      </c>
      <c r="G6" s="3622"/>
      <c r="H6" s="3622">
        <f ca="1">H5*10000</f>
        <v>2833550000</v>
      </c>
      <c r="I6" s="3622"/>
    </row>
  </sheetData>
  <mergeCells count="10">
    <mergeCell ref="H1:I1"/>
    <mergeCell ref="A1:A2"/>
    <mergeCell ref="D1:E1"/>
    <mergeCell ref="F1:G1"/>
    <mergeCell ref="D5:E5"/>
    <mergeCell ref="F5:G5"/>
    <mergeCell ref="H5:I5"/>
    <mergeCell ref="D6:E6"/>
    <mergeCell ref="F6:G6"/>
    <mergeCell ref="H6:I6"/>
  </mergeCells>
  <phoneticPr fontId="141" type="noConversion"/>
  <dataValidations count="2">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activeCell="F17" sqref="F17"/>
    </sheetView>
  </sheetViews>
  <sheetFormatPr defaultRowHeight="13.5"/>
  <cols>
    <col min="3" max="3" width="27.75" bestFit="1" customWidth="1"/>
    <col min="11" max="11" width="22.25" bestFit="1" customWidth="1"/>
  </cols>
  <sheetData>
    <row r="1" spans="1:11" ht="14.25" thickBot="1"/>
    <row r="2" spans="1:11" ht="14.25" thickBot="1">
      <c r="A2" s="3266" t="s">
        <v>3533</v>
      </c>
      <c r="B2" s="3267" t="s">
        <v>3534</v>
      </c>
      <c r="C2" s="3267" t="s">
        <v>3535</v>
      </c>
      <c r="D2" s="3267" t="s">
        <v>3536</v>
      </c>
      <c r="E2" s="3267" t="s">
        <v>3537</v>
      </c>
      <c r="F2" s="3267" t="s">
        <v>3538</v>
      </c>
      <c r="G2" s="3267" t="s">
        <v>3539</v>
      </c>
      <c r="H2" s="3267" t="s">
        <v>3574</v>
      </c>
      <c r="I2" s="3267" t="s">
        <v>3576</v>
      </c>
      <c r="J2" s="3267" t="s">
        <v>3540</v>
      </c>
      <c r="K2" s="3267" t="s">
        <v>3541</v>
      </c>
    </row>
    <row r="3" spans="1:11" ht="14.25" thickBot="1">
      <c r="A3" s="3623">
        <v>1</v>
      </c>
      <c r="B3" s="3628" t="s">
        <v>3542</v>
      </c>
      <c r="C3" s="3268" t="s">
        <v>3543</v>
      </c>
      <c r="D3" s="3269" t="s">
        <v>3544</v>
      </c>
      <c r="E3" s="3269" t="s">
        <v>3545</v>
      </c>
      <c r="F3" s="3269">
        <v>14003.7</v>
      </c>
      <c r="G3" s="3268" t="s">
        <v>3546</v>
      </c>
      <c r="H3" s="3268" t="s">
        <v>3575</v>
      </c>
      <c r="I3" s="3268" t="s">
        <v>3580</v>
      </c>
      <c r="J3" s="3268" t="s">
        <v>1098</v>
      </c>
      <c r="K3" s="3268" t="s">
        <v>3547</v>
      </c>
    </row>
    <row r="4" spans="1:11" ht="14.25" thickBot="1">
      <c r="A4" s="3624"/>
      <c r="B4" s="3629"/>
      <c r="C4" s="3268" t="s">
        <v>3543</v>
      </c>
      <c r="D4" s="3269" t="s">
        <v>3544</v>
      </c>
      <c r="E4" s="3268" t="s">
        <v>3548</v>
      </c>
      <c r="F4" s="3269">
        <v>3090.5</v>
      </c>
      <c r="G4" s="3268" t="s">
        <v>3546</v>
      </c>
      <c r="H4" s="3268" t="s">
        <v>3575</v>
      </c>
      <c r="I4" s="3268" t="s">
        <v>3577</v>
      </c>
      <c r="J4" s="3268" t="s">
        <v>3577</v>
      </c>
      <c r="K4" s="3268" t="s">
        <v>3547</v>
      </c>
    </row>
    <row r="5" spans="1:11" ht="14.25" thickBot="1">
      <c r="A5" s="3623">
        <v>2</v>
      </c>
      <c r="B5" s="3629"/>
      <c r="C5" s="3268" t="s">
        <v>3543</v>
      </c>
      <c r="D5" s="3269" t="s">
        <v>3549</v>
      </c>
      <c r="E5" s="3269" t="s">
        <v>3545</v>
      </c>
      <c r="F5" s="3269">
        <v>31053</v>
      </c>
      <c r="G5" s="3268" t="s">
        <v>3550</v>
      </c>
      <c r="H5" s="3268" t="s">
        <v>3575</v>
      </c>
      <c r="I5" s="3268" t="s">
        <v>3580</v>
      </c>
      <c r="J5" s="3268" t="s">
        <v>1098</v>
      </c>
      <c r="K5" s="3268" t="s">
        <v>3547</v>
      </c>
    </row>
    <row r="6" spans="1:11" ht="14.25" thickBot="1">
      <c r="A6" s="3624"/>
      <c r="B6" s="3629"/>
      <c r="C6" s="3268" t="s">
        <v>3543</v>
      </c>
      <c r="D6" s="3269" t="s">
        <v>3549</v>
      </c>
      <c r="E6" s="3268" t="s">
        <v>3551</v>
      </c>
      <c r="F6" s="3269">
        <v>10083</v>
      </c>
      <c r="G6" s="3268" t="s">
        <v>3550</v>
      </c>
      <c r="H6" s="3268" t="s">
        <v>3575</v>
      </c>
      <c r="I6" s="3268" t="s">
        <v>3579</v>
      </c>
      <c r="J6" s="3268" t="s">
        <v>1098</v>
      </c>
      <c r="K6" s="3268" t="s">
        <v>3547</v>
      </c>
    </row>
    <row r="7" spans="1:11" ht="14.25" thickBot="1">
      <c r="A7" s="3270">
        <v>3</v>
      </c>
      <c r="B7" s="3630"/>
      <c r="C7" s="3268" t="s">
        <v>3543</v>
      </c>
      <c r="D7" s="3269" t="s">
        <v>3556</v>
      </c>
      <c r="E7" s="3269" t="s">
        <v>3552</v>
      </c>
      <c r="F7" s="3269">
        <v>70.099999999999994</v>
      </c>
      <c r="G7" s="3268" t="s">
        <v>3557</v>
      </c>
      <c r="H7" s="3268" t="s">
        <v>3575</v>
      </c>
      <c r="I7" s="3268" t="s">
        <v>3575</v>
      </c>
      <c r="J7" s="3268" t="s">
        <v>1098</v>
      </c>
      <c r="K7" s="3268" t="s">
        <v>3547</v>
      </c>
    </row>
    <row r="8" spans="1:11" ht="14.25" thickBot="1">
      <c r="A8" s="3625" t="s">
        <v>3572</v>
      </c>
      <c r="B8" s="3626"/>
      <c r="C8" s="3626"/>
      <c r="D8" s="3626"/>
      <c r="E8" s="3627"/>
      <c r="F8" s="3269">
        <f>SUM(F3:F7)</f>
        <v>58300.299999999996</v>
      </c>
      <c r="G8" s="3268" t="s">
        <v>70</v>
      </c>
      <c r="H8" s="3268"/>
      <c r="I8" s="3268"/>
      <c r="J8" s="3268" t="s">
        <v>70</v>
      </c>
      <c r="K8" s="3268" t="s">
        <v>70</v>
      </c>
    </row>
    <row r="9" spans="1:11" ht="14.25" thickBot="1">
      <c r="A9" s="3270">
        <v>1</v>
      </c>
      <c r="B9" s="3628" t="s">
        <v>3573</v>
      </c>
      <c r="C9" s="3268" t="s">
        <v>3543</v>
      </c>
      <c r="D9" s="3269" t="s">
        <v>3558</v>
      </c>
      <c r="E9" s="3269" t="s">
        <v>3552</v>
      </c>
      <c r="F9" s="3269">
        <v>228.3</v>
      </c>
      <c r="G9" s="3268" t="s">
        <v>3550</v>
      </c>
      <c r="H9" s="3268" t="s">
        <v>3575</v>
      </c>
      <c r="I9" s="3268" t="s">
        <v>3575</v>
      </c>
      <c r="J9" s="3268" t="s">
        <v>1098</v>
      </c>
      <c r="K9" s="3268" t="s">
        <v>3547</v>
      </c>
    </row>
    <row r="10" spans="1:11" ht="14.25" thickBot="1">
      <c r="A10" s="3623">
        <v>2</v>
      </c>
      <c r="B10" s="3629"/>
      <c r="C10" s="3268" t="s">
        <v>3543</v>
      </c>
      <c r="D10" s="3269" t="s">
        <v>3559</v>
      </c>
      <c r="E10" s="3269" t="s">
        <v>3560</v>
      </c>
      <c r="F10" s="3269">
        <v>3328.3</v>
      </c>
      <c r="G10" s="3268" t="s">
        <v>3546</v>
      </c>
      <c r="H10" s="3268" t="s">
        <v>3575</v>
      </c>
      <c r="I10" s="3268" t="s">
        <v>3578</v>
      </c>
      <c r="J10" s="3268" t="s">
        <v>1098</v>
      </c>
      <c r="K10" s="3268" t="s">
        <v>3547</v>
      </c>
    </row>
    <row r="11" spans="1:11" ht="14.25" thickBot="1">
      <c r="A11" s="3624"/>
      <c r="B11" s="3629"/>
      <c r="C11" s="3268" t="s">
        <v>3543</v>
      </c>
      <c r="D11" s="3269" t="s">
        <v>3559</v>
      </c>
      <c r="E11" s="3268" t="s">
        <v>3555</v>
      </c>
      <c r="F11" s="3269">
        <v>467.3</v>
      </c>
      <c r="G11" s="3268" t="s">
        <v>3546</v>
      </c>
      <c r="H11" s="3268" t="s">
        <v>3575</v>
      </c>
      <c r="I11" s="3268" t="s">
        <v>3581</v>
      </c>
      <c r="J11" s="3268" t="s">
        <v>3582</v>
      </c>
      <c r="K11" s="3268" t="s">
        <v>3547</v>
      </c>
    </row>
    <row r="12" spans="1:11" ht="14.25" thickBot="1">
      <c r="A12" s="3270">
        <v>3</v>
      </c>
      <c r="B12" s="3629"/>
      <c r="C12" s="3268" t="s">
        <v>3543</v>
      </c>
      <c r="D12" s="3269" t="s">
        <v>3561</v>
      </c>
      <c r="E12" s="3269" t="s">
        <v>3553</v>
      </c>
      <c r="F12" s="3269">
        <v>264</v>
      </c>
      <c r="G12" s="3268" t="s">
        <v>3550</v>
      </c>
      <c r="H12" s="3268" t="s">
        <v>3575</v>
      </c>
      <c r="I12" s="3268" t="s">
        <v>3575</v>
      </c>
      <c r="J12" s="3268" t="s">
        <v>1098</v>
      </c>
      <c r="K12" s="3268" t="s">
        <v>3547</v>
      </c>
    </row>
    <row r="13" spans="1:11" ht="14.25" thickBot="1">
      <c r="A13" s="3270">
        <v>4</v>
      </c>
      <c r="B13" s="3629"/>
      <c r="C13" s="3268" t="s">
        <v>3543</v>
      </c>
      <c r="D13" s="3269" t="s">
        <v>3562</v>
      </c>
      <c r="E13" s="3269" t="s">
        <v>3563</v>
      </c>
      <c r="F13" s="3269">
        <v>799.4</v>
      </c>
      <c r="G13" s="3268" t="s">
        <v>3546</v>
      </c>
      <c r="H13" s="3268" t="s">
        <v>3575</v>
      </c>
      <c r="I13" s="3268" t="s">
        <v>3578</v>
      </c>
      <c r="J13" s="3268" t="s">
        <v>1098</v>
      </c>
      <c r="K13" s="3268" t="s">
        <v>3547</v>
      </c>
    </row>
    <row r="14" spans="1:11" ht="14.25" thickBot="1">
      <c r="A14" s="3623">
        <v>5</v>
      </c>
      <c r="B14" s="3629"/>
      <c r="C14" s="3268" t="s">
        <v>3543</v>
      </c>
      <c r="D14" s="3269" t="s">
        <v>3564</v>
      </c>
      <c r="E14" s="3269" t="s">
        <v>3553</v>
      </c>
      <c r="F14" s="3269">
        <v>414.2</v>
      </c>
      <c r="G14" s="3268" t="s">
        <v>3550</v>
      </c>
      <c r="H14" s="3268" t="s">
        <v>3575</v>
      </c>
      <c r="I14" s="3268" t="s">
        <v>3575</v>
      </c>
      <c r="J14" s="3268" t="s">
        <v>1098</v>
      </c>
      <c r="K14" s="3268" t="s">
        <v>3547</v>
      </c>
    </row>
    <row r="15" spans="1:11" ht="14.25" thickBot="1">
      <c r="A15" s="3624"/>
      <c r="B15" s="3629"/>
      <c r="C15" s="3268" t="s">
        <v>3543</v>
      </c>
      <c r="D15" s="3269" t="s">
        <v>3564</v>
      </c>
      <c r="E15" s="3268" t="s">
        <v>3555</v>
      </c>
      <c r="F15" s="3269">
        <v>207.1</v>
      </c>
      <c r="G15" s="3268" t="s">
        <v>3550</v>
      </c>
      <c r="H15" s="3268" t="s">
        <v>3575</v>
      </c>
      <c r="I15" s="3268" t="s">
        <v>3583</v>
      </c>
      <c r="J15" s="3268" t="s">
        <v>3583</v>
      </c>
      <c r="K15" s="3268" t="s">
        <v>3547</v>
      </c>
    </row>
    <row r="16" spans="1:11" ht="14.25" thickBot="1">
      <c r="A16" s="3270">
        <v>6</v>
      </c>
      <c r="B16" s="3629"/>
      <c r="C16" s="3268" t="s">
        <v>3543</v>
      </c>
      <c r="D16" s="3269" t="s">
        <v>3565</v>
      </c>
      <c r="E16" s="3269" t="s">
        <v>3554</v>
      </c>
      <c r="F16" s="3269">
        <v>2189.5</v>
      </c>
      <c r="G16" s="3268" t="s">
        <v>3550</v>
      </c>
      <c r="H16" s="3268" t="s">
        <v>3575</v>
      </c>
      <c r="I16" s="3268" t="s">
        <v>3578</v>
      </c>
      <c r="J16" s="3268" t="s">
        <v>1098</v>
      </c>
      <c r="K16" s="3268" t="s">
        <v>3547</v>
      </c>
    </row>
    <row r="17" spans="1:11" ht="14.25" thickBot="1">
      <c r="A17" s="3623">
        <v>7</v>
      </c>
      <c r="B17" s="3629"/>
      <c r="C17" s="3268" t="s">
        <v>3543</v>
      </c>
      <c r="D17" s="3269" t="s">
        <v>3566</v>
      </c>
      <c r="E17" s="3269" t="s">
        <v>3567</v>
      </c>
      <c r="F17" s="3269">
        <v>1928.1</v>
      </c>
      <c r="G17" s="3268" t="s">
        <v>3546</v>
      </c>
      <c r="H17" s="3268" t="s">
        <v>3575</v>
      </c>
      <c r="I17" s="3268" t="s">
        <v>3575</v>
      </c>
      <c r="J17" s="3268" t="s">
        <v>1098</v>
      </c>
      <c r="K17" s="3268" t="s">
        <v>3547</v>
      </c>
    </row>
    <row r="18" spans="1:11" ht="14.25" thickBot="1">
      <c r="A18" s="3624"/>
      <c r="B18" s="3629"/>
      <c r="C18" s="3268" t="s">
        <v>3543</v>
      </c>
      <c r="D18" s="3269" t="s">
        <v>3566</v>
      </c>
      <c r="E18" s="3268" t="s">
        <v>3555</v>
      </c>
      <c r="F18" s="3269">
        <v>642.70000000000005</v>
      </c>
      <c r="G18" s="3268" t="s">
        <v>3546</v>
      </c>
      <c r="H18" s="3268" t="s">
        <v>3575</v>
      </c>
      <c r="I18" s="3268" t="s">
        <v>3583</v>
      </c>
      <c r="J18" s="3268" t="s">
        <v>3583</v>
      </c>
      <c r="K18" s="3268" t="s">
        <v>3547</v>
      </c>
    </row>
    <row r="19" spans="1:11" ht="14.25" thickBot="1">
      <c r="A19" s="3270">
        <v>8</v>
      </c>
      <c r="B19" s="3629"/>
      <c r="C19" s="3268" t="s">
        <v>3543</v>
      </c>
      <c r="D19" s="3269" t="s">
        <v>3568</v>
      </c>
      <c r="E19" s="3269" t="s">
        <v>3553</v>
      </c>
      <c r="F19" s="3269">
        <v>604.6</v>
      </c>
      <c r="G19" s="3268" t="s">
        <v>3550</v>
      </c>
      <c r="H19" s="3268" t="s">
        <v>3575</v>
      </c>
      <c r="I19" s="3268" t="s">
        <v>3575</v>
      </c>
      <c r="J19" s="3268" t="s">
        <v>1098</v>
      </c>
      <c r="K19" s="3268" t="s">
        <v>3547</v>
      </c>
    </row>
    <row r="20" spans="1:11" ht="14.25" thickBot="1">
      <c r="A20" s="3270">
        <v>9</v>
      </c>
      <c r="B20" s="3630"/>
      <c r="C20" s="3268" t="s">
        <v>3543</v>
      </c>
      <c r="D20" s="3269" t="s">
        <v>3569</v>
      </c>
      <c r="E20" s="3269" t="s">
        <v>3553</v>
      </c>
      <c r="F20" s="3269">
        <v>178.6</v>
      </c>
      <c r="G20" s="3268" t="s">
        <v>3550</v>
      </c>
      <c r="H20" s="3268" t="s">
        <v>3575</v>
      </c>
      <c r="I20" s="3268" t="s">
        <v>3575</v>
      </c>
      <c r="J20" s="3268" t="s">
        <v>1098</v>
      </c>
      <c r="K20" s="3268" t="s">
        <v>3547</v>
      </c>
    </row>
    <row r="21" spans="1:11" ht="14.25" thickBot="1">
      <c r="A21" s="3625" t="s">
        <v>3570</v>
      </c>
      <c r="B21" s="3626"/>
      <c r="C21" s="3626"/>
      <c r="D21" s="3626"/>
      <c r="E21" s="3627"/>
      <c r="F21" s="3269">
        <f>SUM(F9:F20)</f>
        <v>11252.100000000002</v>
      </c>
      <c r="G21" s="3268" t="s">
        <v>70</v>
      </c>
      <c r="H21" s="3268"/>
      <c r="I21" s="3268"/>
      <c r="J21" s="3268" t="s">
        <v>70</v>
      </c>
      <c r="K21" s="3268" t="s">
        <v>70</v>
      </c>
    </row>
    <row r="22" spans="1:11" ht="14.25" thickBot="1">
      <c r="A22" s="3625" t="s">
        <v>3571</v>
      </c>
      <c r="B22" s="3626"/>
      <c r="C22" s="3626"/>
      <c r="D22" s="3626"/>
      <c r="E22" s="3627"/>
      <c r="F22" s="3269">
        <f>F8+F21</f>
        <v>69552.399999999994</v>
      </c>
      <c r="G22" s="3268" t="s">
        <v>70</v>
      </c>
      <c r="H22" s="3268"/>
      <c r="I22" s="3268"/>
      <c r="J22" s="3268" t="s">
        <v>70</v>
      </c>
      <c r="K22" s="3268" t="s">
        <v>70</v>
      </c>
    </row>
  </sheetData>
  <mergeCells count="10">
    <mergeCell ref="A3:A4"/>
    <mergeCell ref="A5:A6"/>
    <mergeCell ref="A8:E8"/>
    <mergeCell ref="B3:B7"/>
    <mergeCell ref="A10:A11"/>
    <mergeCell ref="A14:A15"/>
    <mergeCell ref="A17:A18"/>
    <mergeCell ref="A21:E21"/>
    <mergeCell ref="A22:E22"/>
    <mergeCell ref="B9:B20"/>
  </mergeCells>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3" t="str">
        <f>IF(项目基本情况!B9="房地产市场价值","估价结果一览表","结果表-2")</f>
        <v>结果表-2</v>
      </c>
      <c r="B1" s="3283"/>
      <c r="C1" s="3283"/>
      <c r="D1" s="3283"/>
      <c r="E1" s="3283"/>
      <c r="F1" s="3283"/>
      <c r="G1" s="3283"/>
      <c r="H1" s="3283"/>
      <c r="I1" s="3283"/>
    </row>
    <row r="2" spans="1:9" ht="30" customHeight="1" thickTop="1">
      <c r="A2" s="3284" t="s">
        <v>1361</v>
      </c>
      <c r="B2" s="3284" t="s">
        <v>1362</v>
      </c>
      <c r="C2" s="3284" t="s">
        <v>1363</v>
      </c>
      <c r="D2" s="3284" t="str">
        <f>结果表!D116</f>
        <v>出让国有建设用地使用权价值</v>
      </c>
      <c r="E2" s="3284"/>
      <c r="F2" s="3284" t="str">
        <f>结果表!F116</f>
        <v>在建建筑物价值</v>
      </c>
      <c r="G2" s="3284"/>
      <c r="H2" s="3284" t="str">
        <f>IF(项目基本情况!B9="房地产市场价值","房地产市场价值","房地产价值")</f>
        <v>房地产价值</v>
      </c>
      <c r="I2" s="3284"/>
    </row>
    <row r="3" spans="1:9" ht="15">
      <c r="A3" s="3285"/>
      <c r="B3" s="3285"/>
      <c r="C3" s="3285"/>
      <c r="D3" s="944" t="s">
        <v>1358</v>
      </c>
      <c r="E3" s="944" t="s">
        <v>1364</v>
      </c>
      <c r="F3" s="944" t="s">
        <v>1358</v>
      </c>
      <c r="G3" s="944" t="s">
        <v>1359</v>
      </c>
      <c r="H3" s="944" t="s">
        <v>1358</v>
      </c>
      <c r="I3" s="944" t="s">
        <v>1359</v>
      </c>
    </row>
    <row r="4" spans="1:9" ht="15">
      <c r="A4" s="1641" t="str">
        <f>项目基本情况!S2</f>
        <v>北京市房地产</v>
      </c>
      <c r="B4" s="944">
        <f>项目基本情况!C17</f>
        <v>58300.299999999996</v>
      </c>
      <c r="C4" s="944">
        <f>项目基本情况!C18</f>
        <v>10807.05</v>
      </c>
      <c r="D4" s="944">
        <f ca="1">结果表!D118</f>
        <v>198541</v>
      </c>
      <c r="E4" s="944">
        <f ca="1">结果表!E118</f>
        <v>34055</v>
      </c>
      <c r="F4" s="944">
        <f ca="1">结果表!F118</f>
        <v>39518</v>
      </c>
      <c r="G4" s="944">
        <f ca="1">结果表!G118</f>
        <v>6778</v>
      </c>
      <c r="H4" s="944">
        <f ca="1">结果表!H118</f>
        <v>238059</v>
      </c>
      <c r="I4" s="944">
        <f ca="1">结果表!I118</f>
        <v>40833</v>
      </c>
    </row>
    <row r="5" spans="1:9" ht="30" customHeight="1">
      <c r="A5" s="3285" t="s">
        <v>1360</v>
      </c>
      <c r="B5" s="3285"/>
      <c r="C5" s="3285"/>
      <c r="D5" s="3286" t="str">
        <f ca="1">结果表!D119</f>
        <v>壹拾玖亿捌仟伍佰肆拾壹万元整</v>
      </c>
      <c r="E5" s="3286"/>
      <c r="F5" s="3286" t="str">
        <f ca="1">结果表!F119</f>
        <v>叁亿玖仟伍佰壹拾捌万元整</v>
      </c>
      <c r="G5" s="3286"/>
      <c r="H5" s="3286" t="str">
        <f ca="1">结果表!H119</f>
        <v>贰拾叁亿捌仟零伍拾玖万元整</v>
      </c>
      <c r="I5" s="3286"/>
    </row>
    <row r="6" spans="1:9" ht="15.75">
      <c r="A6" s="3287" t="str">
        <f>结果表!A120</f>
        <v>估价师知悉的法定优先受偿款</v>
      </c>
      <c r="B6" s="3287"/>
      <c r="C6" s="3287"/>
      <c r="D6" s="3287">
        <f>结果表!D120</f>
        <v>0</v>
      </c>
      <c r="E6" s="3287"/>
      <c r="F6" s="3287"/>
      <c r="G6" s="3287"/>
      <c r="H6" s="3287"/>
      <c r="I6" s="3287"/>
    </row>
    <row r="7" spans="1:9" ht="15">
      <c r="A7" s="3285" t="s">
        <v>1360</v>
      </c>
      <c r="B7" s="3285"/>
      <c r="C7" s="3285"/>
      <c r="D7" s="3288" t="str">
        <f>结果表!D121</f>
        <v>零元整</v>
      </c>
      <c r="E7" s="3289"/>
      <c r="F7" s="3289"/>
      <c r="G7" s="3289"/>
      <c r="H7" s="3289"/>
      <c r="I7" s="3290"/>
    </row>
    <row r="8" spans="1:9" ht="15.75">
      <c r="A8" s="3287" t="str">
        <f>结果表!A122</f>
        <v>房地产抵押价值</v>
      </c>
      <c r="B8" s="3287"/>
      <c r="C8" s="3287"/>
      <c r="D8" s="3287">
        <f ca="1">结果表!D122</f>
        <v>238059</v>
      </c>
      <c r="E8" s="3287"/>
      <c r="F8" s="3287"/>
      <c r="G8" s="3287"/>
      <c r="H8" s="3287"/>
      <c r="I8" s="3287"/>
    </row>
    <row r="9" spans="1:9" ht="15">
      <c r="A9" s="3285" t="s">
        <v>1360</v>
      </c>
      <c r="B9" s="3285"/>
      <c r="C9" s="3285"/>
      <c r="D9" s="3286" t="str">
        <f ca="1">结果表!D123</f>
        <v>贰拾叁亿捌仟零伍拾玖万元整</v>
      </c>
      <c r="E9" s="3286"/>
      <c r="F9" s="3286"/>
      <c r="G9" s="3286"/>
      <c r="H9" s="3286"/>
      <c r="I9" s="3286"/>
    </row>
    <row r="10" spans="1:9" ht="15.75">
      <c r="A10" s="3287" t="str">
        <f>结果表!A124</f>
        <v/>
      </c>
      <c r="B10" s="3287"/>
      <c r="C10" s="3287"/>
      <c r="D10" s="3287" t="str">
        <f>结果表!D124</f>
        <v>——</v>
      </c>
      <c r="E10" s="3287"/>
      <c r="F10" s="3287"/>
      <c r="G10" s="3287"/>
      <c r="H10" s="3287"/>
      <c r="I10" s="3287"/>
    </row>
    <row r="11" spans="1:9" ht="15">
      <c r="A11" s="3285" t="s">
        <v>1360</v>
      </c>
      <c r="B11" s="3285"/>
      <c r="C11" s="3285"/>
      <c r="D11" s="3286" t="e">
        <f>结果表!D125</f>
        <v>#VALUE!</v>
      </c>
      <c r="E11" s="3286"/>
      <c r="F11" s="3286"/>
      <c r="G11" s="3286"/>
      <c r="H11" s="3286"/>
      <c r="I11" s="3286"/>
    </row>
    <row r="12" spans="1:9" ht="15.75">
      <c r="A12" s="3287" t="str">
        <f>结果表!A126</f>
        <v/>
      </c>
      <c r="B12" s="3287"/>
      <c r="C12" s="3287"/>
      <c r="D12" s="3287" t="str">
        <f>结果表!D126</f>
        <v>——</v>
      </c>
      <c r="E12" s="3287"/>
      <c r="F12" s="3287"/>
      <c r="G12" s="3287"/>
      <c r="H12" s="3287"/>
      <c r="I12" s="3287"/>
    </row>
    <row r="13" spans="1:9" ht="15.75" thickBot="1">
      <c r="A13" s="3291" t="s">
        <v>1360</v>
      </c>
      <c r="B13" s="3291"/>
      <c r="C13" s="3291"/>
      <c r="D13" s="3292" t="e">
        <f>结果表!D127</f>
        <v>#VALUE!</v>
      </c>
      <c r="E13" s="3292"/>
      <c r="F13" s="3292"/>
      <c r="G13" s="3292"/>
      <c r="H13" s="3292"/>
      <c r="I13" s="3292"/>
    </row>
    <row r="14" spans="1:9" ht="15" thickTop="1">
      <c r="A14" s="3293" t="s">
        <v>1365</v>
      </c>
      <c r="B14" s="3293"/>
      <c r="C14" s="3293"/>
      <c r="D14" s="3293"/>
      <c r="E14" s="3293"/>
      <c r="F14" s="3293"/>
      <c r="G14" s="3293"/>
      <c r="H14" s="3293"/>
      <c r="I14" s="3293"/>
    </row>
    <row r="16" spans="1:9" ht="18.75">
      <c r="A16" s="1642" t="s">
        <v>1348</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4" t="s">
        <v>1382</v>
      </c>
      <c r="B1" s="3294"/>
      <c r="C1" s="3294"/>
      <c r="D1" s="3294"/>
    </row>
    <row r="2" spans="1:4" ht="18">
      <c r="A2" s="3295" t="s">
        <v>1366</v>
      </c>
      <c r="B2" s="3295"/>
      <c r="C2" s="3295"/>
      <c r="D2" s="3295"/>
    </row>
    <row r="3" spans="1:4" ht="18.75">
      <c r="A3" s="1645" t="s">
        <v>1367</v>
      </c>
      <c r="B3" s="1645" t="s">
        <v>1368</v>
      </c>
      <c r="C3" s="1645" t="s">
        <v>1369</v>
      </c>
      <c r="D3" s="1645" t="s">
        <v>1370</v>
      </c>
    </row>
    <row r="4" spans="1:4" ht="56.25" customHeight="1">
      <c r="A4" s="1646" t="str">
        <f>项目基本情况!B4</f>
        <v>郑燚</v>
      </c>
      <c r="B4" s="1647">
        <f ca="1">项目基本情况!C4</f>
        <v>1120070131</v>
      </c>
      <c r="C4" s="1648"/>
      <c r="D4" s="1649" t="s">
        <v>1371</v>
      </c>
    </row>
    <row r="5" spans="1:4" ht="56.25" customHeight="1">
      <c r="A5" s="1646" t="str">
        <f>项目基本情况!D4</f>
        <v>吴薇</v>
      </c>
      <c r="B5" s="1647">
        <f ca="1">项目基本情况!E4</f>
        <v>1419970001</v>
      </c>
      <c r="C5" s="1650"/>
      <c r="D5" s="1649" t="s">
        <v>1371</v>
      </c>
    </row>
    <row r="6" spans="1:4" ht="18">
      <c r="A6" s="3295" t="s">
        <v>1372</v>
      </c>
      <c r="B6" s="3295"/>
      <c r="C6" s="3295"/>
      <c r="D6" s="3295"/>
    </row>
    <row r="7" spans="1:4" ht="18.75">
      <c r="A7" s="1645" t="s">
        <v>1367</v>
      </c>
      <c r="B7" s="1647" t="s">
        <v>1373</v>
      </c>
      <c r="C7" s="1645" t="s">
        <v>1369</v>
      </c>
      <c r="D7" s="1645" t="s">
        <v>1370</v>
      </c>
    </row>
    <row r="8" spans="1:4" ht="56.25" customHeight="1">
      <c r="A8" s="1651" t="s">
        <v>656</v>
      </c>
      <c r="B8" s="1651" t="s">
        <v>1</v>
      </c>
      <c r="C8" s="1648"/>
      <c r="D8" s="1649" t="s">
        <v>1371</v>
      </c>
    </row>
    <row r="9" spans="1:4">
      <c r="A9" s="684"/>
      <c r="B9" s="684"/>
      <c r="C9" s="684"/>
      <c r="D9" s="684"/>
    </row>
    <row r="10" spans="1:4" ht="18.75">
      <c r="A10" s="1652" t="s">
        <v>1374</v>
      </c>
      <c r="B10" s="684"/>
      <c r="C10" s="684"/>
      <c r="D10" s="684"/>
    </row>
    <row r="11" spans="1:4" ht="30" customHeight="1">
      <c r="A11" s="3296" t="s">
        <v>1375</v>
      </c>
      <c r="B11" s="3297"/>
      <c r="C11" s="3297"/>
      <c r="D11" s="3297"/>
    </row>
    <row r="12" spans="1:4" ht="15.75">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8"/>
      <c r="C12" s="3298"/>
      <c r="D12" s="3298"/>
    </row>
    <row r="13" spans="1:4" ht="30" customHeight="1">
      <c r="A13" s="32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8"/>
      <c r="C13" s="3298"/>
      <c r="D13" s="3298"/>
    </row>
    <row r="14" spans="1:4" ht="15.75" customHeight="1">
      <c r="A14" s="3297" t="str">
        <f>IF(项目基本情况!B8="抵押","4.本次评估估价师所知悉的法定优先受偿款情况说明如下：","——")</f>
        <v>4.本次评估估价师所知悉的法定优先受偿款情况说明如下：</v>
      </c>
      <c r="B14" s="3298"/>
      <c r="C14" s="3298"/>
      <c r="D14" s="3298"/>
    </row>
    <row r="15" spans="1:4" ht="42" customHeight="1">
      <c r="A15" s="32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7"/>
      <c r="C15" s="3297"/>
      <c r="D15" s="3297"/>
    </row>
    <row r="16" spans="1:4" ht="30" customHeight="1">
      <c r="A16" s="3300" t="s">
        <v>1376</v>
      </c>
      <c r="B16" s="3300"/>
      <c r="C16" s="3300"/>
      <c r="D16" s="3300"/>
    </row>
    <row r="17" spans="1:4" ht="144" customHeight="1">
      <c r="A17" s="3300" t="s">
        <v>1377</v>
      </c>
      <c r="B17" s="3300"/>
      <c r="C17" s="3300"/>
      <c r="D17" s="3300"/>
    </row>
    <row r="18" spans="1:4" ht="15.75" customHeight="1">
      <c r="A18" s="3297" t="str">
        <f>IF(项目基本情况!B8="抵押",结果表!K120,"——")</f>
        <v>故，本次评估不存在估价师知悉的法定优先受偿款</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7"/>
      <c r="C20" s="3297"/>
      <c r="D20" s="3297"/>
    </row>
    <row r="21" spans="1:4" ht="57.75" customHeight="1">
      <c r="A21" s="33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1"/>
      <c r="C21" s="3301"/>
      <c r="D21" s="3301"/>
    </row>
    <row r="22" spans="1:4" ht="18.75" customHeight="1">
      <c r="A22" s="3302" t="s">
        <v>1378</v>
      </c>
      <c r="B22" s="3302"/>
      <c r="C22" s="3302"/>
      <c r="D22" s="3302"/>
    </row>
    <row r="23" spans="1:4">
      <c r="A23" s="1653"/>
      <c r="B23" s="1625"/>
      <c r="C23" s="1625"/>
      <c r="D23" s="1625"/>
    </row>
    <row r="24" spans="1:4">
      <c r="A24" s="1653"/>
      <c r="B24" s="1625"/>
      <c r="C24" s="1625"/>
      <c r="D24" s="1625"/>
    </row>
    <row r="25" spans="1:4" ht="18.75">
      <c r="A25" s="1654" t="s">
        <v>1379</v>
      </c>
    </row>
    <row r="26" spans="1:4" ht="18">
      <c r="A26" s="1623"/>
    </row>
    <row r="27" spans="1:4" ht="18.75">
      <c r="A27" s="1623" t="s">
        <v>1380</v>
      </c>
    </row>
    <row r="30" spans="1:4" ht="18.75">
      <c r="D30" s="1654" t="s">
        <v>1381</v>
      </c>
    </row>
    <row r="31" spans="1:4" ht="13.5" customHeight="1">
      <c r="C31" s="3299">
        <v>42551</v>
      </c>
      <c r="D31" s="32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1383</v>
      </c>
    </row>
    <row r="3" spans="1:7">
      <c r="A3" s="1659" t="s">
        <v>82</v>
      </c>
      <c r="B3" s="1643" t="s">
        <v>1384</v>
      </c>
      <c r="G3" s="1660"/>
    </row>
    <row r="4" spans="1:7">
      <c r="G4" s="1660"/>
    </row>
    <row r="5" spans="1:7">
      <c r="A5" s="1662" t="s">
        <v>73</v>
      </c>
      <c r="B5" s="1643" t="s">
        <v>1385</v>
      </c>
      <c r="G5" s="1660"/>
    </row>
    <row r="6" spans="1:7">
      <c r="G6" s="1660"/>
    </row>
    <row r="7" spans="1:7">
      <c r="A7" s="1663" t="s">
        <v>135</v>
      </c>
      <c r="B7" s="1643" t="s">
        <v>1386</v>
      </c>
      <c r="G7" s="1660"/>
    </row>
    <row r="8" spans="1:7">
      <c r="G8" s="1660"/>
    </row>
    <row r="9" spans="1:7">
      <c r="A9" s="1664" t="s">
        <v>74</v>
      </c>
      <c r="B9" s="1643" t="s">
        <v>1387</v>
      </c>
    </row>
    <row r="11" spans="1:7">
      <c r="A11" s="1665" t="s">
        <v>75</v>
      </c>
      <c r="B11" s="1666" t="s">
        <v>72</v>
      </c>
    </row>
    <row r="13" spans="1:7">
      <c r="A13" s="1667" t="s">
        <v>1388</v>
      </c>
    </row>
    <row r="15" spans="1:7" ht="13.5">
      <c r="A15" s="3308" t="s">
        <v>1389</v>
      </c>
      <c r="B15" s="3303" t="s">
        <v>136</v>
      </c>
      <c r="C15" s="3304"/>
    </row>
    <row r="16" spans="1:7" ht="13.5">
      <c r="A16" s="3309"/>
      <c r="B16" s="3303" t="s">
        <v>69</v>
      </c>
      <c r="C16" s="3304"/>
    </row>
    <row r="17" spans="1:3" ht="13.5">
      <c r="A17" s="3309"/>
      <c r="B17" s="3306" t="s">
        <v>1390</v>
      </c>
      <c r="C17" s="1668" t="s">
        <v>1389</v>
      </c>
    </row>
    <row r="18" spans="1:3" ht="13.5">
      <c r="A18" s="3309"/>
      <c r="B18" s="3306"/>
      <c r="C18" s="1668" t="s">
        <v>1391</v>
      </c>
    </row>
    <row r="19" spans="1:3" ht="13.5">
      <c r="A19" s="3309"/>
      <c r="B19" s="3306"/>
      <c r="C19" s="1668" t="s">
        <v>1392</v>
      </c>
    </row>
    <row r="20" spans="1:3" ht="13.5">
      <c r="A20" s="3310"/>
      <c r="B20" s="3305" t="s">
        <v>1393</v>
      </c>
      <c r="C20" s="3304"/>
    </row>
    <row r="21" spans="1:3" ht="13.5">
      <c r="A21" s="1669" t="s">
        <v>1394</v>
      </c>
      <c r="B21" s="1670"/>
      <c r="C21" s="1671"/>
    </row>
    <row r="22" spans="1:3" ht="13.5">
      <c r="A22" s="3307" t="s">
        <v>1395</v>
      </c>
      <c r="B22" s="3305" t="s">
        <v>1396</v>
      </c>
      <c r="C22" s="3304"/>
    </row>
    <row r="23" spans="1:3" ht="13.5">
      <c r="A23" s="3307"/>
      <c r="B23" s="3305" t="s">
        <v>1397</v>
      </c>
      <c r="C23" s="3304"/>
    </row>
    <row r="24" spans="1:3" ht="13.5">
      <c r="A24" s="3307"/>
      <c r="B24" s="3305" t="s">
        <v>1398</v>
      </c>
      <c r="C24" s="3304"/>
    </row>
    <row r="25" spans="1:3" ht="13.5">
      <c r="A25" s="3307"/>
      <c r="B25" s="3306" t="s">
        <v>1399</v>
      </c>
      <c r="C25" s="1668" t="s">
        <v>1400</v>
      </c>
    </row>
    <row r="26" spans="1:3" ht="13.5">
      <c r="A26" s="3307"/>
      <c r="B26" s="3306"/>
      <c r="C26" s="1668" t="s">
        <v>1401</v>
      </c>
    </row>
    <row r="27" spans="1:3" ht="13.5">
      <c r="A27" s="3307"/>
      <c r="B27" s="3306"/>
      <c r="C27" s="1668" t="s">
        <v>1402</v>
      </c>
    </row>
    <row r="28" spans="1:3" ht="13.5">
      <c r="A28" s="3307"/>
      <c r="B28" s="3306"/>
      <c r="C28" s="1668" t="s">
        <v>1403</v>
      </c>
    </row>
    <row r="29" spans="1:3" ht="13.5">
      <c r="A29" s="3307"/>
      <c r="B29" s="3306"/>
      <c r="C29" s="1668" t="s">
        <v>1404</v>
      </c>
    </row>
    <row r="30" spans="1:3" ht="13.5">
      <c r="A30" s="3307"/>
      <c r="B30" s="3306"/>
      <c r="C30" s="1668" t="s">
        <v>1405</v>
      </c>
    </row>
    <row r="31" spans="1:3" ht="13.5">
      <c r="A31" s="3307"/>
      <c r="B31" s="3306"/>
      <c r="C31" s="1668" t="s">
        <v>1406</v>
      </c>
    </row>
    <row r="32" spans="1:3" ht="13.5">
      <c r="A32" s="3307"/>
      <c r="B32" s="3306"/>
      <c r="C32" s="1668" t="s">
        <v>1407</v>
      </c>
    </row>
    <row r="33" spans="1:3" ht="13.5">
      <c r="A33" s="3307"/>
      <c r="B33" s="3306"/>
      <c r="C33" s="1668" t="s">
        <v>1408</v>
      </c>
    </row>
    <row r="34" spans="1:3">
      <c r="A34" s="1672" t="s">
        <v>76</v>
      </c>
    </row>
    <row r="37" spans="1:3">
      <c r="A37" s="1672" t="s">
        <v>1409</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2635</v>
      </c>
      <c r="B2" s="2512">
        <f ca="1">TODAY()</f>
        <v>44759</v>
      </c>
      <c r="C2" s="2513" t="s">
        <v>2636</v>
      </c>
      <c r="D2" s="2513"/>
      <c r="E2" s="2513"/>
      <c r="F2" s="2509"/>
      <c r="G2" s="2509"/>
      <c r="H2" s="2509"/>
    </row>
    <row r="3" spans="1:8" ht="24" customHeight="1">
      <c r="A3" s="2514" t="s">
        <v>2637</v>
      </c>
      <c r="B3" s="2515" t="s">
        <v>2638</v>
      </c>
      <c r="C3" s="2515" t="s">
        <v>2639</v>
      </c>
      <c r="D3" s="2516" t="s">
        <v>2640</v>
      </c>
      <c r="E3" s="2517" t="s">
        <v>2641</v>
      </c>
      <c r="F3" s="1425" t="s">
        <v>2642</v>
      </c>
      <c r="G3" s="2515" t="s">
        <v>2639</v>
      </c>
      <c r="H3" s="2516" t="s">
        <v>2643</v>
      </c>
    </row>
    <row r="4" spans="1:8" ht="24" customHeight="1">
      <c r="A4" s="1425" t="s">
        <v>2644</v>
      </c>
      <c r="B4" s="1425">
        <f ca="1">IF(C4&lt;B2,"已过期",1119970066)</f>
        <v>1119970066</v>
      </c>
      <c r="C4" s="2518">
        <v>44876</v>
      </c>
      <c r="D4" s="2519" t="str">
        <f ca="1">A4&amp;"（注册号："&amp;B4&amp;"）"</f>
        <v>梁津（注册号：1119970066）</v>
      </c>
      <c r="E4" s="2520" t="s">
        <v>2644</v>
      </c>
      <c r="F4" s="1425">
        <f ca="1">IF(G4&lt;B2,"已过期",96010014)</f>
        <v>96010014</v>
      </c>
      <c r="G4" s="2521">
        <v>47118</v>
      </c>
      <c r="H4" s="2522" t="str">
        <f ca="1">E4&amp;"（注册号："&amp;F4&amp;"）"</f>
        <v>梁津（注册号：96010014）</v>
      </c>
    </row>
    <row r="5" spans="1:8" ht="24" customHeight="1">
      <c r="A5" s="1425" t="s">
        <v>2645</v>
      </c>
      <c r="B5" s="1425">
        <f ca="1">IF(C5&lt;B2,"已过期",1119970111)</f>
        <v>1119970111</v>
      </c>
      <c r="C5" s="2518">
        <v>44876</v>
      </c>
      <c r="D5" s="2519" t="str">
        <f t="shared" ref="D5:D15" ca="1" si="0">A5&amp;"（注册号："&amp;B5&amp;"）"</f>
        <v>叶凌（注册号：1119970111）</v>
      </c>
      <c r="E5" s="2520" t="s">
        <v>2645</v>
      </c>
      <c r="F5" s="1425">
        <f ca="1">IF(G5&lt;B2,"已过期",94010078)</f>
        <v>94010078</v>
      </c>
      <c r="G5" s="2521">
        <v>46387</v>
      </c>
      <c r="H5" s="2522" t="str">
        <f t="shared" ref="H5:H16" ca="1" si="1">E5&amp;"（注册号："&amp;F5&amp;"）"</f>
        <v>叶凌（注册号：94010078）</v>
      </c>
    </row>
    <row r="6" spans="1:8" ht="24" customHeight="1">
      <c r="A6" s="1425" t="s">
        <v>2646</v>
      </c>
      <c r="B6" s="1425">
        <f ca="1">IF(C6&lt;B2,"已过期",1120050019)</f>
        <v>1120050019</v>
      </c>
      <c r="C6" s="2518">
        <v>45410</v>
      </c>
      <c r="D6" s="2519" t="str">
        <f t="shared" ca="1" si="0"/>
        <v>王鹏（注册号：1120050019）</v>
      </c>
      <c r="E6" s="2520" t="s">
        <v>2646</v>
      </c>
      <c r="F6" s="1425">
        <f ca="1">IF(G6&lt;B2,"已过期",2002110030)</f>
        <v>2002110030</v>
      </c>
      <c r="G6" s="2521">
        <v>46387</v>
      </c>
      <c r="H6" s="2522" t="str">
        <f t="shared" ca="1" si="1"/>
        <v>王鹏（注册号：2002110030）</v>
      </c>
    </row>
    <row r="7" spans="1:8" ht="24" customHeight="1">
      <c r="A7" s="1425" t="s">
        <v>2647</v>
      </c>
      <c r="B7" s="1425">
        <f ca="1">IF(C7&lt;B2,"已过期",1120000080)</f>
        <v>1120000080</v>
      </c>
      <c r="C7" s="2518">
        <v>44876</v>
      </c>
      <c r="D7" s="2519" t="str">
        <f t="shared" ca="1" si="0"/>
        <v>欧红伟（注册号：1120000080）</v>
      </c>
      <c r="E7" s="2520" t="s">
        <v>2647</v>
      </c>
      <c r="F7" s="1425">
        <f ca="1">IF(G7&lt;B2,"已过期",2000110082)</f>
        <v>2000110082</v>
      </c>
      <c r="G7" s="2521">
        <v>46387</v>
      </c>
      <c r="H7" s="2522" t="str">
        <f t="shared" ca="1" si="1"/>
        <v>欧红伟（注册号：2000110082）</v>
      </c>
    </row>
    <row r="8" spans="1:8" ht="24" customHeight="1">
      <c r="A8" s="1425" t="s">
        <v>2648</v>
      </c>
      <c r="B8" s="1425">
        <f ca="1">IF(C8&lt;B2,"已过期",1419970001)</f>
        <v>1419970001</v>
      </c>
      <c r="C8" s="2518">
        <v>44899</v>
      </c>
      <c r="D8" s="2519" t="str">
        <f t="shared" ca="1" si="0"/>
        <v>吴薇（注册号：1419970001）</v>
      </c>
      <c r="E8" s="2520" t="s">
        <v>2648</v>
      </c>
      <c r="F8" s="1425">
        <f ca="1">IF(G8&lt;B2,"已过期",2002110125)</f>
        <v>2002110125</v>
      </c>
      <c r="G8" s="2521">
        <v>47118</v>
      </c>
      <c r="H8" s="2522" t="str">
        <f t="shared" ca="1" si="1"/>
        <v>吴薇（注册号：2002110125）</v>
      </c>
    </row>
    <row r="9" spans="1:8" ht="24" customHeight="1">
      <c r="A9" s="1425" t="s">
        <v>2649</v>
      </c>
      <c r="B9" s="1425">
        <f ca="1">IF(C9&lt;B2,"已过期",1120060040)</f>
        <v>1120060040</v>
      </c>
      <c r="C9" s="2523">
        <v>45592</v>
      </c>
      <c r="D9" s="2519" t="str">
        <f t="shared" ca="1" si="0"/>
        <v>陈颖（注册号：1120060040）</v>
      </c>
      <c r="E9" s="2520" t="s">
        <v>2649</v>
      </c>
      <c r="F9" s="1425">
        <f ca="1">IF(G9&lt;B2,"已过期",2004110096)</f>
        <v>2004110096</v>
      </c>
      <c r="G9" s="2521">
        <v>47118</v>
      </c>
      <c r="H9" s="2522" t="str">
        <f t="shared" ca="1" si="1"/>
        <v>陈颖（注册号：2004110096）</v>
      </c>
    </row>
    <row r="10" spans="1:8" ht="24" customHeight="1">
      <c r="A10" s="1425" t="s">
        <v>2650</v>
      </c>
      <c r="B10" s="1425" t="str">
        <f ca="1">IF(C10&lt;B2,"已过期",1120100036)</f>
        <v>已过期</v>
      </c>
      <c r="C10" s="2523">
        <v>44675</v>
      </c>
      <c r="D10" s="2519" t="str">
        <f t="shared" ca="1" si="0"/>
        <v>崔锴（注册号：已过期）</v>
      </c>
      <c r="E10" s="2520" t="s">
        <v>2650</v>
      </c>
      <c r="F10" s="1425">
        <f ca="1">IF(G10&lt;B2,"已过期",2010110070)</f>
        <v>2010110070</v>
      </c>
      <c r="G10" s="2521">
        <v>47907</v>
      </c>
      <c r="H10" s="2522" t="str">
        <f t="shared" ca="1" si="1"/>
        <v>崔锴（注册号：2010110070）</v>
      </c>
    </row>
    <row r="11" spans="1:8" ht="24" customHeight="1">
      <c r="A11" s="1425" t="s">
        <v>2651</v>
      </c>
      <c r="B11" s="1425">
        <f ca="1">IF(C11&lt;B2,"已过期",1120070131)</f>
        <v>1120070131</v>
      </c>
      <c r="C11" s="2518">
        <v>44849</v>
      </c>
      <c r="D11" s="2519" t="str">
        <f t="shared" ca="1" si="0"/>
        <v>郑燚（注册号：1120070131）</v>
      </c>
      <c r="E11" s="2520" t="s">
        <v>2651</v>
      </c>
      <c r="F11" s="1425">
        <f ca="1">IF(G11&lt;B2,"已过期",2014110011)</f>
        <v>2014110011</v>
      </c>
      <c r="G11" s="2521">
        <v>49302</v>
      </c>
      <c r="H11" s="2522" t="str">
        <f t="shared" ca="1" si="1"/>
        <v>郑燚（注册号：2014110011）</v>
      </c>
    </row>
    <row r="12" spans="1:8" ht="24" customHeight="1">
      <c r="A12" s="1425" t="s">
        <v>2652</v>
      </c>
      <c r="B12" s="1425">
        <f ca="1">IF(C12&lt;B2,"已过期",1120040230)</f>
        <v>1120040230</v>
      </c>
      <c r="C12" s="2523">
        <v>44864</v>
      </c>
      <c r="D12" s="2519" t="str">
        <f t="shared" ca="1" si="0"/>
        <v>苏海（注册号：1120040230）</v>
      </c>
      <c r="E12" s="2520" t="s">
        <v>2652</v>
      </c>
      <c r="F12" s="1425">
        <f ca="1">IF(G12&lt;B2,"已过期",98030020)</f>
        <v>98030020</v>
      </c>
      <c r="G12" s="2521">
        <v>47118</v>
      </c>
      <c r="H12" s="2522" t="str">
        <f t="shared" ca="1" si="1"/>
        <v>苏海（注册号：98030020）</v>
      </c>
    </row>
    <row r="13" spans="1:8" ht="24" customHeight="1">
      <c r="A13" s="1425" t="s">
        <v>2653</v>
      </c>
      <c r="B13" s="1425" t="str">
        <f ca="1">IF(C13&lt;B2,"已过期",1120020033)</f>
        <v>已过期</v>
      </c>
      <c r="C13" s="2518">
        <v>44339</v>
      </c>
      <c r="D13" s="2519" t="str">
        <f t="shared" ca="1" si="0"/>
        <v>刘敬东（注册号：已过期）</v>
      </c>
      <c r="E13" s="2520" t="s">
        <v>2653</v>
      </c>
      <c r="F13" s="1425">
        <f ca="1">IF(G13&lt;B2,"已过期",2000110137)</f>
        <v>2000110137</v>
      </c>
      <c r="G13" s="2521">
        <v>46387</v>
      </c>
      <c r="H13" s="2522" t="str">
        <f t="shared" ca="1" si="1"/>
        <v>刘敬东（注册号：2000110137）</v>
      </c>
    </row>
    <row r="14" spans="1:8" ht="24" customHeight="1">
      <c r="A14" s="1425" t="s">
        <v>2654</v>
      </c>
      <c r="B14" s="1425">
        <f ca="1">IF(C14&lt;B2,"已过期",1119980106)</f>
        <v>1119980106</v>
      </c>
      <c r="C14" s="2523">
        <v>44969</v>
      </c>
      <c r="D14" s="2519" t="str">
        <f t="shared" ca="1" si="0"/>
        <v>刘俊财（注册号：1119980106）</v>
      </c>
      <c r="E14" s="2520" t="s">
        <v>2654</v>
      </c>
      <c r="F14" s="1425">
        <f ca="1">IF(G14&lt;B2,"已过期",96010063)</f>
        <v>96010063</v>
      </c>
      <c r="G14" s="2521">
        <v>47483</v>
      </c>
      <c r="H14" s="2522" t="str">
        <f t="shared" ca="1" si="1"/>
        <v>刘俊财（注册号：96010063）</v>
      </c>
    </row>
    <row r="15" spans="1:8" ht="24" customHeight="1">
      <c r="A15" s="1425" t="s">
        <v>2927</v>
      </c>
      <c r="B15" s="1425">
        <v>1120210056</v>
      </c>
      <c r="C15" s="2523">
        <v>45410</v>
      </c>
      <c r="D15" s="2519" t="str">
        <f t="shared" si="0"/>
        <v>宁小鳗（注册号：1120210056）</v>
      </c>
      <c r="E15" s="2520" t="s">
        <v>2655</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11" t="s">
        <v>2656</v>
      </c>
      <c r="B17" s="3311"/>
      <c r="C17" s="3311"/>
      <c r="D17" s="3311"/>
      <c r="E17" s="3311"/>
      <c r="F17" s="3311"/>
      <c r="G17" s="3311"/>
      <c r="H17" s="3311"/>
    </row>
    <row r="18" spans="1:8" ht="24" customHeight="1">
      <c r="A18" s="3312" t="s">
        <v>2657</v>
      </c>
      <c r="B18" s="3312"/>
      <c r="C18" s="3312"/>
      <c r="D18" s="2516"/>
      <c r="E18" s="3313" t="s">
        <v>2658</v>
      </c>
      <c r="F18" s="3312"/>
      <c r="G18" s="3312"/>
    </row>
    <row r="19" spans="1:8" s="2527" customFormat="1" ht="24" customHeight="1">
      <c r="A19" s="2526" t="s">
        <v>2659</v>
      </c>
      <c r="B19" s="2515" t="s">
        <v>2660</v>
      </c>
      <c r="C19" s="2515" t="s">
        <v>2639</v>
      </c>
      <c r="D19" s="2516"/>
      <c r="E19" s="2520" t="s">
        <v>2659</v>
      </c>
      <c r="F19" s="2515" t="s">
        <v>2660</v>
      </c>
      <c r="G19" s="2515" t="s">
        <v>2639</v>
      </c>
    </row>
    <row r="20" spans="1:8" s="2527" customFormat="1" ht="24" customHeight="1">
      <c r="A20" s="2528" t="s">
        <v>2661</v>
      </c>
      <c r="B20" s="2528" t="s">
        <v>2662</v>
      </c>
      <c r="C20" s="2521">
        <v>44820</v>
      </c>
      <c r="D20" s="2529"/>
      <c r="E20" s="2530" t="s">
        <v>2663</v>
      </c>
      <c r="F20" s="2533" t="s">
        <v>2928</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大厦及北里</vt:lpstr>
      <vt:lpstr>广场</vt:lpstr>
      <vt:lpstr>电影院</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2022-07-17T11:34:04Z</dcterms:modified>
</cp:coreProperties>
</file>