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L52" i="67" l="1"/>
  <c r="AB20" i="1" l="1"/>
  <c r="AB19" i="1"/>
  <c r="AB21" i="1" l="1"/>
  <c r="AA21" i="1"/>
  <c r="J52" i="67"/>
  <c r="Y6" i="1"/>
  <c r="C11" i="15"/>
  <c r="V21" i="1"/>
  <c r="W19" i="1"/>
  <c r="V20" i="1"/>
  <c r="V19" i="1"/>
  <c r="U19" i="1"/>
  <c r="D33" i="43"/>
  <c r="D40" i="43"/>
  <c r="G19" i="6"/>
  <c r="F19" i="6"/>
  <c r="D3" i="4"/>
  <c r="Z21" i="1" l="1"/>
  <c r="U6" i="1" s="1"/>
  <c r="E7" i="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M23" i="15"/>
  <c r="E10" i="76"/>
  <c r="F3" i="73"/>
  <c r="B13" i="76"/>
  <c r="L47" i="15"/>
  <c r="F8" i="15"/>
  <c r="F36" i="15"/>
  <c r="F7" i="67"/>
  <c r="M29" i="67"/>
  <c r="F6" i="67"/>
  <c r="M6" i="15"/>
  <c r="J15" i="15"/>
  <c r="B11" i="76"/>
  <c r="M22" i="15"/>
  <c r="F43" i="15"/>
  <c r="M8" i="67"/>
  <c r="B12" i="76"/>
  <c r="F4" i="73"/>
  <c r="F6" i="73"/>
  <c r="F43" i="67"/>
  <c r="M28" i="67"/>
  <c r="J15" i="67"/>
  <c r="F36" i="67"/>
  <c r="F38" i="15"/>
  <c r="F37" i="15"/>
  <c r="F9" i="67"/>
  <c r="F40" i="15"/>
  <c r="M22" i="67"/>
  <c r="D7" i="73"/>
  <c r="M26" i="67"/>
  <c r="F5" i="73"/>
  <c r="E2" i="68"/>
  <c r="M8" i="15"/>
  <c r="C76" i="67"/>
  <c r="E7" i="76"/>
  <c r="B9" i="76"/>
  <c r="L48" i="67"/>
  <c r="B10" i="76"/>
  <c r="F6" i="15"/>
  <c r="AO13" i="1"/>
  <c r="D6" i="73"/>
  <c r="E8" i="76"/>
  <c r="M29" i="15"/>
  <c r="D5" i="73"/>
  <c r="F8" i="67"/>
  <c r="M6" i="67"/>
  <c r="F7" i="73"/>
  <c r="F38" i="67"/>
  <c r="M26" i="15"/>
  <c r="F40" i="67"/>
  <c r="F42" i="67"/>
  <c r="F42" i="15"/>
  <c r="M23" i="67"/>
  <c r="E12" i="76"/>
  <c r="F37" i="67"/>
  <c r="E13" i="76"/>
  <c r="B7" i="76"/>
  <c r="F20" i="31"/>
  <c r="D3" i="73"/>
  <c r="M9" i="15"/>
  <c r="M24" i="15"/>
  <c r="C76" i="15"/>
  <c r="E11" i="76"/>
  <c r="D4" i="73"/>
  <c r="F7" i="15"/>
  <c r="E9" i="76"/>
  <c r="F9" i="15"/>
  <c r="F13" i="67"/>
  <c r="M24" i="67"/>
  <c r="E2" i="69"/>
  <c r="L47" i="67"/>
  <c r="B8" i="76"/>
  <c r="F26" i="15"/>
  <c r="F16" i="15"/>
  <c r="M9" i="67"/>
  <c r="L48" i="15"/>
  <c r="M28" i="15"/>
  <c r="F13" i="15"/>
  <c r="F16" i="67"/>
  <c r="C28" i="67"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U20" i="1" l="1"/>
  <c r="W20" i="1" s="1"/>
  <c r="W21" i="1" s="1"/>
  <c r="U21"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6" i="68" l="1"/>
  <c r="C7" i="68" s="1"/>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Q58" i="67"/>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2" i="37"/>
  <c r="D2" i="34"/>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9" i="1"/>
  <c r="AO8"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D21" i="9" l="1"/>
  <c r="D22" i="9"/>
  <c r="D102" i="9"/>
  <c r="G19" i="9"/>
  <c r="G14" i="74" s="1"/>
  <c r="B6" i="70"/>
  <c r="B2" i="70" s="1"/>
  <c r="B3" i="70" s="1"/>
  <c r="D103" i="9"/>
  <c r="G20" i="9"/>
  <c r="C32" i="9" s="1"/>
  <c r="C35"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G21" i="9"/>
  <c r="D14" i="74"/>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I4" i="52" s="1"/>
  <c r="H118" i="9" l="1"/>
  <c r="E118" i="9"/>
  <c r="F118" i="9"/>
  <c r="H102" i="9"/>
  <c r="C105" i="9"/>
  <c r="C5" i="74" l="1"/>
  <c r="D7" i="53"/>
  <c r="B21" i="72" s="1"/>
  <c r="F4" i="52"/>
  <c r="B51" i="72" s="1"/>
  <c r="F119" i="9"/>
  <c r="F5" i="52" s="1"/>
  <c r="B53" i="72" s="1"/>
  <c r="H101" i="9"/>
  <c r="C104" i="9"/>
  <c r="H4" i="52"/>
  <c r="H119" i="9"/>
  <c r="H5" i="52" s="1"/>
  <c r="E4" i="52"/>
  <c r="B48" i="72" s="1"/>
  <c r="D118" i="9"/>
  <c r="D4" i="52" l="1"/>
  <c r="B47" i="72" s="1"/>
  <c r="D119" i="9"/>
  <c r="D5" i="52" s="1"/>
  <c r="B49" i="72" s="1"/>
  <c r="M48" i="9"/>
  <c r="H107" i="9"/>
  <c r="D45" i="9"/>
  <c r="D5" i="53"/>
  <c r="D53" i="9" l="1"/>
  <c r="C85" i="9"/>
  <c r="D55" i="9"/>
  <c r="M53" i="9" s="1"/>
  <c r="D52" i="9"/>
  <c r="C72" i="9"/>
  <c r="C78" i="9"/>
  <c r="C73" i="9" s="1"/>
  <c r="C93" i="9"/>
  <c r="C86" i="9" s="1"/>
  <c r="C64" i="9"/>
  <c r="C63" i="9" s="1"/>
  <c r="C67" i="9" s="1"/>
  <c r="B20" i="72"/>
  <c r="D6" i="53"/>
  <c r="B22" i="72" s="1"/>
  <c r="H108" i="9"/>
  <c r="D13" i="53"/>
  <c r="D122" i="9"/>
  <c r="C79" i="9" l="1"/>
  <c r="D59" i="9"/>
  <c r="M55" i="9" s="1"/>
  <c r="C68" i="9"/>
  <c r="D54" i="9" s="1"/>
  <c r="C95" i="9"/>
  <c r="B30" i="72"/>
  <c r="D14" i="53"/>
  <c r="B32" i="72" s="1"/>
  <c r="D8" i="52"/>
  <c r="D123" i="9"/>
  <c r="D9" i="52" s="1"/>
  <c r="D15" i="53"/>
  <c r="B31" i="72" s="1"/>
  <c r="C6" i="74"/>
  <c r="C80" i="9"/>
  <c r="E80" i="9" s="1"/>
  <c r="E81" i="9" s="1"/>
  <c r="C81" i="9" l="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<sst xmlns="http://schemas.openxmlformats.org/spreadsheetml/2006/main" count="7829" uniqueCount="3423">
  <si>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</si>
  <si>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</si>
  <si>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</si>
  <si>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</si>
  <si>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</si>
  <si>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</si>
  <si>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</si>
  <si>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</si>
  <si>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</si>
  <si>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</si>
  <si>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</si>
  <si>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</si>
  <si>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</si>
  <si>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</si>
  <si>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</si>
  <si>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</si>
  <si>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</si>
  <si>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</si>
  <si>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</si>
  <si>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</si>
  <si>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</si>
  <si>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</si>
  <si>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</si>
  <si>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</si>
  <si>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</si>
  <si>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</si>
  <si>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</si>
  <si>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</si>
  <si>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</si>
  <si>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</si>
  <si>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</si>
  <si>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</si>
  <si>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</si>
  <si>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</si>
  <si>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</si>
  <si>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</si>
  <si>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</si>
  <si>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</si>
  <si>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</si>
  <si>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</si>
  <si>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</si>
  <si>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</si>
  <si>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</si>
  <si>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</si>
  <si>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</si>
  <si>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</si>
  <si>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</si>
  <si>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</si>
  <si>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</si>
  <si>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</si>
  <si>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</si>
  <si>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</si>
  <si>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</si>
  <si>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</si>
  <si>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</si>
  <si>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</si>
  <si>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</si>
  <si>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</si>
  <si>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</si>
  <si>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</si>
  <si>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</si>
  <si>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</si>
  <si>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</si>
  <si>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</si>
  <si>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</si>
  <si>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</si>
  <si>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</si>
  <si>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</si>
  <si>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</si>
  <si>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</si>
  <si>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</si>
  <si>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</si>
  <si>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</si>
  <si>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</si>
  <si>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</si>
  <si>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</si>
  <si>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</si>
  <si>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</si>
  <si>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</si>
  <si>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</si>
  <si>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</si>
  <si>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</si>
  <si>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</si>
  <si>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</si>
  <si>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</si>
  <si>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</si>
  <si>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</si>
  <si>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</si>
  <si>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</si>
  <si>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</si>
  <si>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</si>
  <si>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</si>
  <si>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</si>
  <si>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</si>
  <si>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</si>
  <si>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</si>
  <si>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</si>
  <si>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</si>
  <si>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</si>
  <si>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</si>
  <si>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</si>
  <si>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</si>
  <si>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</si>
  <si>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</si>
  <si>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</si>
  <si>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</si>
  <si>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</si>
  <si>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</si>
  <si>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</si>
  <si>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</si>
  <si>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</si>
  <si>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</si>
  <si>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</si>
  <si>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</si>
  <si>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</si>
  <si>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</si>
  <si>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</si>
  <si>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</si>
  <si>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</si>
  <si>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</si>
  <si>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</si>
  <si>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</si>
  <si>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</si>
  <si>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</si>
  <si>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</si>
  <si>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</si>
  <si>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</si>
  <si>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</si>
  <si>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</si>
  <si>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</si>
  <si>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</si>
  <si>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</si>
  <si>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</si>
  <si>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</si>
  <si>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</si>
  <si>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</si>
  <si>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</si>
  <si>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</si>
  <si>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</si>
  <si>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</si>
  <si>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</si>
  <si>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</si>
  <si>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</si>
  <si>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</si>
  <si>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</si>
  <si>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</si>
  <si>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</si>
  <si>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</si>
  <si>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</si>
  <si>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</si>
  <si>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</si>
  <si>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</si>
  <si>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</si>
  <si>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</si>
  <si>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</si>
  <si>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</si>
  <si>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</si>
  <si>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</si>
  <si>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</si>
  <si>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</si>
  <si>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</si>
  <si>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</si>
  <si>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</si>
  <si>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</si>
  <si>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</si>
  <si>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</si>
  <si>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</si>
  <si>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</si>
  <si>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</si>
  <si>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</si>
  <si>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</si>
  <si>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</si>
  <si>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</si>
  <si>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</si>
  <si>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</si>
  <si>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</si>
  <si>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</si>
  <si>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</si>
  <si>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</si>
  <si>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</si>
  <si>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</si>
  <si>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</si>
  <si>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</si>
  <si>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</si>
  <si>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</si>
  <si>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</si>
  <si>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</si>
  <si>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</si>
  <si>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</si>
  <si>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</si>
  <si>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</si>
  <si>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</si>
  <si>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</si>
  <si>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</si>
  <si>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</si>
  <si>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</si>
  <si>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</si>
  <si>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</si>
  <si>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</si>
  <si>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</si>
  <si>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</si>
  <si>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</si>
  <si>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</si>
  <si>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</si>
  <si>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</si>
  <si>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</si>
  <si>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</si>
  <si>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</si>
  <si>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</si>
  <si>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</si>
  <si>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</si>
  <si>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</si>
  <si>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</si>
  <si>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</si>
  <si>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</si>
  <si>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</si>
  <si>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</si>
  <si>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</si>
  <si>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</si>
  <si>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</si>
  <si>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</si>
  <si>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</si>
  <si>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</si>
  <si>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</si>
  <si>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</si>
  <si>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</si>
  <si>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</si>
  <si>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</si>
  <si>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</si>
  <si>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</si>
  <si>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</si>
  <si>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</si>
  <si>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</si>
  <si>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</si>
  <si>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</si>
  <si>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</si>
  <si>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</si>
  <si>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</si>
  <si>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</si>
  <si>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</si>
  <si>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</si>
  <si>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</si>
  <si>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</si>
  <si>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</si>
  <si>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</si>
  <si>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</si>
  <si>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</si>
  <si>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</si>
  <si>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</si>
  <si>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</si>
  <si>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</si>
  <si>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</si>
  <si>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</si>
  <si>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</si>
  <si>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</si>
  <si>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</si>
  <si>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</si>
  <si>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</si>
  <si>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</si>
  <si>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</si>
  <si>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</si>
  <si>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</si>
  <si>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</si>
  <si>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</si>
  <si>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</si>
  <si>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</si>
  <si>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</si>
  <si>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</si>
  <si>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</si>
  <si>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</si>
  <si>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</si>
  <si>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</si>
  <si>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</si>
  <si>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</si>
  <si>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</si>
  <si>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</si>
  <si>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</si>
  <si>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</si>
  <si>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</si>
  <si>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</si>
  <si>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</si>
  <si>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</si>
  <si>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</si>
  <si>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</si>
  <si>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</si>
  <si>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</si>
  <si>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</si>
  <si>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</si>
  <si>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</si>
  <si>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</si>
  <si>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</si>
  <si>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</si>
  <si>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</si>
  <si>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</si>
  <si>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</si>
  <si>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</si>
  <si>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</si>
  <si>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</si>
  <si>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</si>
  <si>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</si>
  <si>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</si>
  <si>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</si>
  <si>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</si>
  <si>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</si>
  <si>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</si>
  <si>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</si>
  <si>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</si>
  <si>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</si>
  <si>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</si>
  <si>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</si>
  <si>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</si>
  <si>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</si>
  <si>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</si>
  <si>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</si>
  <si>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</si>
  <si>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</si>
  <si>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</si>
  <si>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</si>
  <si>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</si>
  <si>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</si>
  <si>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</si>
  <si>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</si>
  <si>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</si>
  <si>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</si>
  <si>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</si>
  <si>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</si>
  <si>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</si>
  <si>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</si>
  <si>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</si>
  <si>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</si>
  <si>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</si>
  <si>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</si>
  <si>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</si>
  <si>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</si>
  <si>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</si>
  <si>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</si>
  <si>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</si>
  <si>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</si>
  <si>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</si>
  <si>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</si>
  <si>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</si>
  <si>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</si>
  <si>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</si>
  <si>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</si>
  <si>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</si>
  <si>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</si>
  <si>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</si>
  <si>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</si>
  <si>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</si>
  <si>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</si>
  <si>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</si>
  <si>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</si>
  <si>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</si>
  <si>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</si>
  <si>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</si>
  <si>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</si>
  <si>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</si>
  <si>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</si>
  <si>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</si>
  <si>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</si>
  <si>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</si>
  <si>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</si>
  <si>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</si>
  <si>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</si>
  <si>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</si>
  <si>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</si>
  <si>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</si>
  <si>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</si>
  <si>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</si>
  <si>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</si>
  <si>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</si>
  <si>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</si>
  <si>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</si>
  <si>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</si>
  <si>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</si>
  <si>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</si>
  <si>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</si>
  <si>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</si>
  <si>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</si>
  <si>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</si>
  <si>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</si>
  <si>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</si>
  <si>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</si>
  <si>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</si>
  <si>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</si>
  <si>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</si>
  <si>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</si>
  <si>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</si>
  <si>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</si>
  <si>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</si>
  <si>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</si>
  <si>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</si>
  <si>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</si>
  <si>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</si>
  <si>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</si>
  <si>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</si>
  <si>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</si>
  <si>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</si>
  <si>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</si>
  <si>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</si>
  <si>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</si>
  <si>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</si>
  <si>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</si>
  <si>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</si>
  <si>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</si>
  <si>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</si>
  <si>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</si>
  <si>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</si>
  <si>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</si>
  <si>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</si>
  <si>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</si>
  <si>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</si>
  <si>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</si>
  <si>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</si>
  <si>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</si>
  <si>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</si>
  <si>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</si>
  <si>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</si>
  <si>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</si>
  <si>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</si>
  <si>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</si>
  <si>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</si>
  <si>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</si>
  <si>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</si>
  <si>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</si>
  <si>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</si>
  <si>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</si>
  <si>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</si>
  <si>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</si>
  <si>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</si>
  <si>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</si>
  <si>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</si>
  <si>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</si>
  <si>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</si>
  <si>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</si>
  <si>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</si>
  <si>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</si>
  <si>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</si>
  <si>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</si>
  <si>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</si>
  <si>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</si>
  <si>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</si>
  <si>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</si>
  <si>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</si>
  <si>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</si>
  <si>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</si>
  <si>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</si>
  <si>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</si>
  <si>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</si>
  <si>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</si>
  <si>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</si>
  <si>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</si>
  <si>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</si>
  <si>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</si>
  <si>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</si>
  <si>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</si>
  <si>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</si>
  <si>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</si>
  <si>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</si>
  <si>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</si>
  <si>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</si>
  <si>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</si>
  <si>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</si>
  <si>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</si>
  <si>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</si>
  <si>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</si>
  <si>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</si>
  <si>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</si>
  <si>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</si>
  <si>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</si>
  <si>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</si>
  <si>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</si>
  <si>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</si>
  <si>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</si>
  <si>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</si>
  <si>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</si>
  <si>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</si>
  <si>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</si>
  <si>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</si>
  <si>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</si>
  <si>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</si>
  <si>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</si>
  <si>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</si>
  <si>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</si>
  <si>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</si>
  <si>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</si>
  <si>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</si>
  <si>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</si>
  <si>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</si>
  <si>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</si>
  <si>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</si>
  <si>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</si>
  <si>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</si>
  <si>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</si>
  <si>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</si>
  <si>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</si>
  <si>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</si>
  <si>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</si>
  <si>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</si>
  <si>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</si>
  <si>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</si>
  <si>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</si>
  <si>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</si>
  <si>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</si>
  <si>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</si>
  <si>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</si>
  <si>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</si>
  <si>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</si>
  <si>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</si>
  <si>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</si>
  <si>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</si>
  <si>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</si>
  <si>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</si>
  <si>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</si>
  <si>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</si>
  <si>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</si>
  <si>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</si>
  <si>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</si>
  <si>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</si>
  <si>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</si>
  <si>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</si>
  <si>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</si>
  <si>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</si>
  <si>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</si>
  <si>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</si>
  <si>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</si>
  <si>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</si>
  <si>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</si>
  <si>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</si>
  <si>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</si>
  <si>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</si>
  <si>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</si>
  <si>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</si>
  <si>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</si>
  <si>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</si>
  <si>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</si>
  <si>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</si>
  <si>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</si>
  <si>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</si>
  <si>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</si>
  <si>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</si>
  <si>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</si>
  <si>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</si>
  <si>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</si>
  <si>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</si>
  <si>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</si>
  <si>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</si>
  <si>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</si>
  <si>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</si>
  <si>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</si>
  <si>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</si>
  <si>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</si>
  <si>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</si>
  <si>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</si>
  <si>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</si>
  <si>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</si>
  <si>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</si>
  <si>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</si>
  <si>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</si>
  <si>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</si>
  <si>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</si>
  <si>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</si>
  <si>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</si>
  <si>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</si>
  <si>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</si>
  <si>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</si>
  <si>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</si>
  <si>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</si>
  <si>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</si>
  <si>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</si>
  <si>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</si>
  <si>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</si>
  <si>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</si>
  <si>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</si>
  <si>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</si>
  <si>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</si>
  <si>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</si>
  <si>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</si>
  <si>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</si>
  <si>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</si>
  <si>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</si>
  <si>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</si>
  <si>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</si>
  <si>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</si>
  <si>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</si>
  <si>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</si>
  <si>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</si>
  <si>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</si>
  <si>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</si>
  <si>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</si>
  <si>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</si>
  <si>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</si>
  <si>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</si>
  <si>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</si>
  <si>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</si>
  <si>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</si>
  <si>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</si>
  <si>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</si>
  <si>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</si>
  <si>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</si>
  <si>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</si>
  <si>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</si>
  <si>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</si>
  <si>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</si>
  <si>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</si>
  <si>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</si>
  <si>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</si>
  <si>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</si>
  <si>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</si>
  <si>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</si>
  <si>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</si>
  <si>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</si>
  <si>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</si>
  <si>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</si>
  <si>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</si>
  <si>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</si>
  <si>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</si>
  <si>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</si>
  <si>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</si>
  <si>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</si>
  <si>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</si>
  <si>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</si>
  <si>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</si>
  <si>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</si>
  <si>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</si>
  <si>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</si>
  <si>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</si>
  <si>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</si>
  <si>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</si>
  <si>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</si>
  <si>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</si>
  <si>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</si>
  <si>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</si>
  <si>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</si>
  <si>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</si>
  <si>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</si>
  <si>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</si>
  <si>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</si>
  <si>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</si>
  <si>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</si>
  <si>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</si>
  <si>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</si>
  <si>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</si>
  <si>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</si>
  <si>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</si>
  <si>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</si>
  <si>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</si>
  <si>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</si>
  <si>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</si>
  <si>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</si>
  <si>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</si>
  <si>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</si>
  <si>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</si>
  <si>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</si>
  <si>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</si>
  <si>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</si>
  <si>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</si>
  <si>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</si>
  <si>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</si>
  <si>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</si>
  <si>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</si>
  <si>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</si>
  <si>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</si>
  <si>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</si>
  <si>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</si>
  <si>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</si>
  <si>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</si>
  <si>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</si>
  <si>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</si>
  <si>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</si>
  <si>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</si>
  <si>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</si>
  <si>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</si>
  <si>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</si>
  <si>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</si>
  <si>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</si>
  <si>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</si>
  <si>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</si>
  <si>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</si>
  <si>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</si>
  <si>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</si>
  <si>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</si>
  <si>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</si>
  <si>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</si>
  <si>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</si>
  <si>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</si>
  <si>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</si>
  <si>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</si>
  <si>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</si>
  <si>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</si>
  <si>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</si>
  <si>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</si>
  <si>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</si>
  <si>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</si>
  <si>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</si>
  <si>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</si>
  <si>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</si>
  <si>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</si>
  <si>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</si>
  <si>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</si>
  <si>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</si>
  <si>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</si>
  <si>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</si>
  <si>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</si>
  <si>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</si>
  <si>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</si>
  <si>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</si>
  <si>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</si>
  <si>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</si>
  <si>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</si>
  <si>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</si>
  <si>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</si>
  <si>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</si>
  <si>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</si>
  <si>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</si>
  <si>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</si>
  <si>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</si>
  <si>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</si>
  <si>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</si>
  <si>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</si>
  <si>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</si>
  <si>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</si>
  <si>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</si>
  <si>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</si>
  <si>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</si>
  <si>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</si>
  <si>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</si>
  <si>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</si>
  <si>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</si>
  <si>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</si>
  <si>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</si>
  <si>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</si>
  <si>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</si>
  <si>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</si>
  <si>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</si>
  <si>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</si>
  <si>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</si>
  <si>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</si>
  <si>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</si>
  <si>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</si>
  <si>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</si>
  <si>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</si>
  <si>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</si>
  <si>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</si>
  <si>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</si>
  <si>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</si>
  <si>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</si>
  <si>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</si>
  <si>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</si>
  <si>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</si>
  <si>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</si>
  <si>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</si>
  <si>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</si>
  <si>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</si>
  <si>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</si>
  <si>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</si>
  <si>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</si>
  <si>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</si>
  <si>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</si>
  <si>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</si>
  <si>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</si>
  <si>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</si>
  <si>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</si>
  <si>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</si>
  <si>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</si>
  <si>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</si>
  <si>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</si>
  <si>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</si>
  <si>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</si>
  <si>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</si>
  <si>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</si>
  <si>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</si>
  <si>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</si>
  <si>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</si>
  <si>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</si>
  <si>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</si>
  <si>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</si>
  <si>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</si>
  <si>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</si>
  <si>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</si>
  <si>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</si>
  <si>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</si>
  <si>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</si>
  <si>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</si>
  <si>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</si>
  <si>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</si>
  <si>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</si>
  <si>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</si>
  <si>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</si>
  <si>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</si>
  <si>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</si>
  <si>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</si>
  <si>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</si>
  <si>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</si>
  <si>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</si>
  <si>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</si>
  <si>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</si>
  <si>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</si>
  <si>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</si>
  <si>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</si>
  <si>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</si>
  <si>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</si>
  <si>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</si>
  <si>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</si>
  <si>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</si>
  <si>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</si>
  <si>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</si>
  <si>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</si>
  <si>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</si>
  <si>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</si>
  <si>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</si>
  <si>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</si>
  <si>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</si>
  <si>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</si>
  <si>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</si>
  <si>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</si>
  <si>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</si>
  <si>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</si>
  <si>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</si>
  <si>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</si>
  <si>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</si>
  <si>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</si>
  <si>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</si>
  <si>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</si>
  <si>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</si>
  <si>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</si>
  <si>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</si>
  <si>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</si>
  <si>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</si>
  <si>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</si>
  <si>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</si>
  <si>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</si>
  <si>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</si>
  <si>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</si>
  <si>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</si>
  <si>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</si>
  <si>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</si>
  <si>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</si>
  <si>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</si>
  <si>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</si>
  <si>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</si>
  <si>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</si>
  <si>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</si>
  <si>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</si>
  <si>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</si>
  <si>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</si>
  <si>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</si>
  <si>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</si>
  <si>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</si>
  <si>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</si>
  <si>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</si>
  <si>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</si>
  <si>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</si>
  <si>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</si>
  <si>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</si>
  <si>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</si>
  <si>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</si>
  <si>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</si>
  <si>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</si>
  <si>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</si>
  <si>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</si>
  <si>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</si>
  <si>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</si>
  <si>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</si>
  <si>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</si>
  <si>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</si>
  <si>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</si>
  <si>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</si>
  <si>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</si>
  <si>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</si>
  <si>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</si>
  <si>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</si>
  <si>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</si>
  <si>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</si>
  <si>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</si>
  <si>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</si>
  <si>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</si>
  <si>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</si>
  <si>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</si>
  <si>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</si>
  <si>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</si>
  <si>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</si>
  <si>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</si>
  <si>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</si>
  <si>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</si>
  <si>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</si>
  <si>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</si>
  <si>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</si>
  <si>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</si>
  <si>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</si>
  <si>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</si>
  <si>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</si>
  <si>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</si>
  <si>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</si>
  <si>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</si>
  <si>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</si>
  <si>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</si>
  <si>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</si>
  <si>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</si>
  <si>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</si>
  <si>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</si>
  <si>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</si>
  <si>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</si>
  <si>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</si>
  <si>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</si>
  <si>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</si>
  <si>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</si>
  <si>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</si>
  <si>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</si>
  <si>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</si>
  <si>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</si>
  <si>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</si>
  <si>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</si>
  <si>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</si>
  <si>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</si>
  <si>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</si>
  <si>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</si>
  <si>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</si>
  <si>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</si>
  <si>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</si>
  <si>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</si>
  <si>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</si>
  <si>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</si>
  <si>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</si>
  <si>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</si>
  <si>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</si>
  <si>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</si>
  <si>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</si>
  <si>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</si>
  <si>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</si>
  <si>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</si>
  <si>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</si>
  <si>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</si>
  <si>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</si>
  <si>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</si>
  <si>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</si>
  <si>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</si>
  <si>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</si>
  <si>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</si>
  <si>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</si>
  <si>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</si>
  <si>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</si>
  <si>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</si>
  <si>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</si>
  <si>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</si>
  <si>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</si>
  <si>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</si>
  <si>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</si>
  <si>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</si>
  <si>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</si>
  <si>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</si>
  <si>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</si>
  <si>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</si>
  <si>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</si>
  <si>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</si>
  <si>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</si>
  <si>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</si>
  <si>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</si>
  <si>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</si>
  <si>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</si>
  <si>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</si>
  <si>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</si>
  <si>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</si>
  <si>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</si>
  <si>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</si>
  <si>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</si>
  <si>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</si>
  <si>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</si>
  <si>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</si>
  <si>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</si>
  <si>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</si>
  <si>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</si>
  <si>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</si>
  <si>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</si>
  <si>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</si>
  <si>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</si>
  <si>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</si>
  <si>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</si>
  <si>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</si>
  <si>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</si>
  <si>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</si>
  <si>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</si>
  <si>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</si>
  <si>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</si>
  <si>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</si>
  <si>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</si>
  <si>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</si>
  <si>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</si>
  <si>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</si>
  <si>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</si>
  <si>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</si>
  <si>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</si>
  <si>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</si>
  <si>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</si>
  <si>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</si>
  <si>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</si>
  <si>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</si>
  <si>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</si>
  <si>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</si>
  <si>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</si>
  <si>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</si>
  <si>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</si>
  <si>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</si>
  <si>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</si>
  <si>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</si>
  <si>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</si>
  <si>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</si>
  <si>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</si>
  <si>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</si>
  <si>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</si>
  <si>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</si>
  <si>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</si>
  <si>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</si>
  <si>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</si>
  <si>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</si>
  <si>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</si>
  <si>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</si>
  <si>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</si>
  <si>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</si>
  <si>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</si>
  <si>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</si>
  <si>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</si>
  <si>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</si>
  <si>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</si>
  <si>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</si>
  <si>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</si>
  <si>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</si>
  <si>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</si>
  <si>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</si>
  <si>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</si>
  <si>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</si>
  <si>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</si>
  <si>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</si>
  <si>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</si>
  <si>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</si>
  <si>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</si>
  <si>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</si>
  <si>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</si>
  <si>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</si>
  <si>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</si>
  <si>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</si>
  <si>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</si>
  <si>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</si>
  <si>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</si>
  <si>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</si>
  <si>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</si>
  <si>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</si>
  <si>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</si>
  <si>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</si>
  <si>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</si>
  <si>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</si>
  <si>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</si>
  <si>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</si>
  <si>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</si>
  <si>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</si>
  <si>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</si>
  <si>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</si>
  <si>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</si>
  <si>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</si>
  <si>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</si>
  <si>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</si>
  <si>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</si>
  <si>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</si>
  <si>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</si>
  <si>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</si>
  <si>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</si>
  <si>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</si>
  <si>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</si>
  <si>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</si>
  <si>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</si>
  <si>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</si>
  <si>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</si>
  <si>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</si>
  <si>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</si>
  <si>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</si>
  <si>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</si>
  <si>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</si>
  <si>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</si>
  <si>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</si>
  <si>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</si>
  <si>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</si>
  <si>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</si>
  <si>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</si>
  <si>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</si>
  <si>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</si>
  <si>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</si>
  <si>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</si>
  <si>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</si>
  <si>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</si>
  <si>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</si>
  <si>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</si>
  <si>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</si>
  <si>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</si>
  <si>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</si>
  <si>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</si>
  <si>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</si>
  <si>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</si>
  <si>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</si>
  <si>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</si>
  <si>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</si>
  <si>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</si>
  <si>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</si>
  <si>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</si>
  <si>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</si>
  <si>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</si>
  <si>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</si>
  <si>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</si>
  <si>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</si>
  <si>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</si>
  <si>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</si>
  <si>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</si>
  <si>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</si>
  <si>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</si>
  <si>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</si>
  <si>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</si>
  <si>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</si>
  <si>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</si>
  <si>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</si>
  <si>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</si>
  <si>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</si>
  <si>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</si>
  <si>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</si>
  <si>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</si>
  <si>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</si>
  <si>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</si>
  <si>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</si>
  <si>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</si>
  <si>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</si>
  <si>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</si>
  <si>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</si>
  <si>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</si>
  <si>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</si>
  <si>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</si>
  <si>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</si>
  <si>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</si>
  <si>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</si>
  <si>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</si>
  <si>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</si>
  <si>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</si>
  <si>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</si>
  <si>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</si>
  <si>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</si>
  <si>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</si>
  <si>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</si>
  <si>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</si>
  <si>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</si>
  <si>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</si>
  <si>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</si>
  <si>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</si>
  <si>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</si>
  <si>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</si>
  <si>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</si>
  <si>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</si>
  <si>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</si>
  <si>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</si>
  <si>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</si>
  <si>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</si>
  <si>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</si>
  <si>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</si>
  <si>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</si>
  <si>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</si>
  <si>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</si>
  <si>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</si>
  <si>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</si>
  <si>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</si>
  <si>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</si>
  <si>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</si>
  <si>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</si>
  <si>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</si>
  <si>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</si>
  <si>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</si>
  <si>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</si>
  <si>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</si>
  <si>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</si>
  <si>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</si>
  <si>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</si>
  <si>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</si>
  <si>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</si>
  <si>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</si>
  <si>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</si>
  <si>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</si>
  <si>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</si>
  <si>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</si>
  <si>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</si>
  <si>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</si>
  <si>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</si>
  <si>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</si>
  <si>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</si>
  <si>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</si>
  <si>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</si>
  <si>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</si>
  <si>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</si>
  <si>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</si>
  <si>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</si>
  <si>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</si>
  <si>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</si>
  <si>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</si>
  <si>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</si>
  <si>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</si>
  <si>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</si>
  <si>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</si>
  <si>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</si>
  <si>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</si>
  <si>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</si>
  <si>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</si>
  <si>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</si>
  <si>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</si>
  <si>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</si>
  <si>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</si>
  <si>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</si>
  <si>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</si>
  <si>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</si>
  <si>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</si>
  <si>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</si>
  <si>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</si>
  <si>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</si>
  <si>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</si>
  <si>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</si>
  <si>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</si>
  <si>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</si>
  <si>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</si>
  <si>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</si>
  <si>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</si>
  <si>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</si>
  <si>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</si>
  <si>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</si>
  <si>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</si>
  <si>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</si>
  <si>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</si>
  <si>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</si>
  <si>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</si>
  <si>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</si>
  <si>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</si>
  <si>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</si>
  <si>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</si>
  <si>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</si>
  <si>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</si>
  <si>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</si>
  <si>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</si>
  <si>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</si>
  <si>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</si>
  <si>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</si>
  <si>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</si>
  <si>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</si>
  <si>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</si>
  <si>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</si>
  <si>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</si>
  <si>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</si>
  <si>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</si>
  <si>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</si>
  <si>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</si>
  <si>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</si>
  <si>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</si>
  <si>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</si>
  <si>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</si>
  <si>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</si>
  <si>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</si>
  <si>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</si>
  <si>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</si>
  <si>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</si>
  <si>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</si>
  <si>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</si>
  <si>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</si>
  <si>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</si>
  <si>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</si>
  <si>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</si>
  <si>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</si>
  <si>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</si>
  <si>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</si>
  <si>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</si>
  <si>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</si>
  <si>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</si>
  <si>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</si>
  <si>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</si>
  <si>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</si>
  <si>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</si>
  <si>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</si>
  <si>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</si>
  <si>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</si>
  <si>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</si>
  <si>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</si>
  <si>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</si>
  <si>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</si>
  <si>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</si>
  <si>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</si>
  <si>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</si>
  <si>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</si>
  <si>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</si>
  <si>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</si>
  <si>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</si>
  <si>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</si>
  <si>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</si>
  <si>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</si>
  <si>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</si>
  <si>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</si>
  <si>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</si>
  <si>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</si>
  <si>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</si>
  <si>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</si>
  <si>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</si>
  <si>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</si>
  <si>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</si>
  <si>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</si>
  <si>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</si>
  <si>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</si>
  <si>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</si>
  <si>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</si>
  <si>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</si>
  <si>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</si>
  <si>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</si>
  <si>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</si>
  <si>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</si>
  <si>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</si>
  <si>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</si>
  <si>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</si>
  <si>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</si>
  <si>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</si>
  <si>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</si>
  <si>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</si>
  <si>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</si>
  <si>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</si>
  <si>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</si>
  <si>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</si>
  <si>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</si>
  <si>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</si>
  <si>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</si>
  <si>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</si>
  <si>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</si>
  <si>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</si>
  <si>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</si>
  <si>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</si>
  <si>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</si>
  <si>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</si>
  <si>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</si>
  <si>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</si>
  <si>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</si>
  <si>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</si>
  <si>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</si>
  <si>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</si>
  <si>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</si>
  <si>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</si>
  <si>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</si>
  <si>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</si>
  <si>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</si>
  <si>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</si>
  <si>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</si>
  <si>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</si>
  <si>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</si>
  <si>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</si>
  <si>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</si>
  <si>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</si>
  <si>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</si>
  <si>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</si>
  <si>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</si>
  <si>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</si>
  <si>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</si>
  <si>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</si>
  <si>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</si>
  <si>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</si>
  <si>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</si>
  <si>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</si>
  <si>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</si>
  <si>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</si>
  <si>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</si>
  <si>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</si>
  <si>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</si>
  <si>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</si>
  <si>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</si>
  <si>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</si>
  <si>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</si>
  <si>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</si>
  <si>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</si>
  <si>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</si>
  <si>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</si>
  <si>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</si>
  <si>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</si>
  <si>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</si>
  <si>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</si>
  <si>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</si>
  <si>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</si>
  <si>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</si>
  <si>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</si>
  <si>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</si>
  <si>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</si>
  <si>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</si>
  <si>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</si>
  <si>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</si>
  <si>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</si>
  <si>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</si>
  <si>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</si>
  <si>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</si>
  <si>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</si>
  <si>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</si>
  <si>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</si>
  <si>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</si>
  <si>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</si>
  <si>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</si>
  <si>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</si>
  <si>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</si>
  <si>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</si>
  <si>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</si>
  <si>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</si>
  <si>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</si>
  <si>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</si>
  <si>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</si>
  <si>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</si>
  <si>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</si>
  <si>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</si>
  <si>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</si>
  <si>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</si>
  <si>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</si>
  <si>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</si>
  <si>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</si>
  <si>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</si>
  <si>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</si>
  <si>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</si>
  <si>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</si>
  <si>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</si>
  <si>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</si>
  <si>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</si>
  <si>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</si>
  <si>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</si>
  <si>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</si>
  <si>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</si>
  <si>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</si>
  <si>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</si>
  <si>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</si>
  <si>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</si>
  <si>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</si>
  <si>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</si>
  <si>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</si>
  <si>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</si>
  <si>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</si>
  <si>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</si>
  <si>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</si>
  <si>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</si>
  <si>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</si>
  <si>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</si>
  <si>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</si>
  <si>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</si>
  <si>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</si>
  <si>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</si>
  <si>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</si>
  <si>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</si>
  <si>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</si>
  <si>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</si>
  <si>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</si>
  <si>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</si>
  <si>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</si>
  <si>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</si>
  <si>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</si>
  <si>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</si>
  <si>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</si>
  <si>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</si>
  <si>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</si>
  <si>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</si>
  <si>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</si>
  <si>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</si>
  <si>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</si>
  <si>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</si>
  <si>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</si>
  <si>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</si>
  <si>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</si>
  <si>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</si>
  <si>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</si>
  <si>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</si>
  <si>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</si>
  <si>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</si>
  <si>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</si>
  <si>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</si>
  <si>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</si>
  <si>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</si>
  <si>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</si>
  <si>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</si>
  <si>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</si>
  <si>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</si>
  <si>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</si>
  <si>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</si>
  <si>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</si>
  <si>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</si>
  <si>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</si>
  <si>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</si>
  <si>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</si>
  <si>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</si>
  <si>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</si>
  <si>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</si>
  <si>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</si>
  <si>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</si>
  <si>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</si>
  <si>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</si>
  <si>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</si>
  <si>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</si>
  <si>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</si>
  <si>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</si>
  <si>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</si>
  <si>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</si>
  <si>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</si>
  <si>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</si>
  <si>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</si>
  <si>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</si>
  <si>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</si>
  <si>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</si>
  <si>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</si>
  <si>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</si>
  <si>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</si>
  <si>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</si>
  <si>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</si>
  <si>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</si>
  <si>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</si>
  <si>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</si>
  <si>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</si>
  <si>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</si>
  <si>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</si>
  <si>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</si>
  <si>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</si>
  <si>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</si>
  <si>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</si>
  <si>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</si>
  <si>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</si>
  <si>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</si>
  <si>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</si>
  <si>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</si>
  <si>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</si>
  <si>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</si>
  <si>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</si>
  <si>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</si>
  <si>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</si>
  <si>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</si>
  <si>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</si>
  <si>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</si>
  <si>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</si>
  <si>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</si>
  <si>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</si>
  <si>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</si>
  <si>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</si>
  <si>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</si>
  <si>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</si>
  <si>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</si>
  <si>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</si>
  <si>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</si>
  <si>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</si>
  <si>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</si>
  <si>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</si>
  <si>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</si>
  <si>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</si>
  <si>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</si>
  <si>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</si>
  <si>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</si>
  <si>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</si>
  <si>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</si>
  <si>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</si>
  <si>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</si>
  <si>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</si>
  <si>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</si>
  <si>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</si>
  <si>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</si>
  <si>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</si>
  <si>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</si>
  <si>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</si>
  <si>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</si>
  <si>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</si>
  <si>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</si>
  <si>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</si>
  <si>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</si>
  <si>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</si>
  <si>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</si>
  <si>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</si>
  <si>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</si>
  <si>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</si>
  <si>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</si>
  <si>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</si>
  <si>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</si>
  <si>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</si>
  <si>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</si>
  <si>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</si>
  <si>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</si>
  <si>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</si>
  <si>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</si>
  <si>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</si>
  <si>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</si>
  <si>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</si>
  <si>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</si>
  <si>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</si>
  <si>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</si>
  <si>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</si>
  <si>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</si>
  <si>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</si>
  <si>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</si>
  <si>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</si>
  <si>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</si>
  <si>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</si>
  <si>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</si>
  <si>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</si>
  <si>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</si>
  <si>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</si>
  <si>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</si>
  <si>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</si>
  <si>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</si>
  <si>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</si>
  <si>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</si>
  <si>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</si>
  <si>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</si>
  <si>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</si>
  <si>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</si>
  <si>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</si>
  <si>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</si>
  <si>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</si>
  <si>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</si>
  <si>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</si>
  <si>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</si>
  <si>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</si>
  <si>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</si>
  <si>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</si>
  <si>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</si>
  <si>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</si>
  <si>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</si>
  <si>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</si>
  <si>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</si>
  <si>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</si>
  <si>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</si>
  <si>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</si>
  <si>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</si>
  <si>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</si>
  <si>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</si>
  <si>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</si>
  <si>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</si>
  <si>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</si>
  <si>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</si>
  <si>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</si>
  <si>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</si>
  <si>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</si>
  <si>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</si>
  <si>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</si>
  <si>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</si>
  <si>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</si>
  <si>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</si>
  <si>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</si>
  <si>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</si>
  <si>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</si>
  <si>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</si>
  <si>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</si>
  <si>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</si>
  <si>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</si>
  <si>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</si>
  <si>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</si>
  <si>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</si>
  <si>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</si>
  <si>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</si>
  <si>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</si>
  <si>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</si>
  <si>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</si>
  <si>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</si>
  <si>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</si>
  <si>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</si>
  <si>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</si>
  <si>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</si>
  <si>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</si>
  <si>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</si>
  <si>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</si>
  <si>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</si>
  <si>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</si>
  <si>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</si>
  <si>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</si>
  <si>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</si>
  <si>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</si>
  <si>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</si>
  <si>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</si>
  <si>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</si>
  <si>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</si>
  <si>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</si>
  <si>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</si>
  <si>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</si>
  <si>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</si>
  <si>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</si>
  <si>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</si>
  <si>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</si>
  <si>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</si>
  <si>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</si>
  <si>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</si>
  <si>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</si>
  <si>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</si>
  <si>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</si>
  <si>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</si>
  <si>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</si>
  <si>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</si>
  <si>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</si>
  <si>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</si>
  <si>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</si>
  <si>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</si>
  <si>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</si>
  <si>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</si>
  <si>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</si>
  <si>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</si>
  <si>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</si>
  <si>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</si>
  <si>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</si>
  <si>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</si>
  <si>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</si>
  <si>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</si>
  <si>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</si>
  <si>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</si>
  <si>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</si>
  <si>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</si>
  <si>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</si>
  <si>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</si>
  <si>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</si>
  <si>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</si>
  <si>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</si>
  <si>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</si>
  <si>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</si>
  <si>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</si>
  <si>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</si>
  <si>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</si>
  <si>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</si>
  <si>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</si>
  <si>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</si>
  <si>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</si>
  <si>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</si>
  <si>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</si>
  <si>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</si>
  <si>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</si>
  <si>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</si>
  <si>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</si>
  <si>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</si>
  <si>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</si>
  <si>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</si>
  <si>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</si>
  <si>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</si>
  <si>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</si>
  <si>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</si>
  <si>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</si>
  <si>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</si>
  <si>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</si>
  <si>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</si>
  <si>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</si>
  <si>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</si>
  <si>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</si>
  <si>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</si>
  <si>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</si>
  <si>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</si>
  <si>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</si>
  <si>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</si>
  <si>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</si>
  <si>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</si>
  <si>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</si>
  <si>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</si>
  <si>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</si>
  <si>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</si>
  <si>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</si>
  <si>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</si>
  <si>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</si>
  <si>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</si>
  <si>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</si>
  <si>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</si>
  <si>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</si>
  <si>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</si>
  <si>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</si>
  <si>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</si>
  <si>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</si>
  <si>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</si>
  <si>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</si>
  <si>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</si>
  <si>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</si>
  <si>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</si>
  <si>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</si>
  <si>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</si>
  <si>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</si>
  <si>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</si>
  <si>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</si>
  <si>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</si>
  <si>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</si>
  <si>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</si>
  <si>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</si>
  <si>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</si>
  <si>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</si>
  <si>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</si>
  <si>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</si>
  <si>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</si>
  <si>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</si>
  <si>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</si>
  <si>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</si>
  <si>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</si>
  <si>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</si>
  <si>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</si>
  <si>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</si>
  <si>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</si>
  <si>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</si>
  <si>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</si>
  <si>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</si>
  <si>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</si>
  <si>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</si>
  <si>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</si>
  <si>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</si>
  <si>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</si>
  <si>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</si>
  <si>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</si>
  <si>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</si>
  <si>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</si>
  <si>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</si>
  <si>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</si>
  <si>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</si>
  <si>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</si>
  <si>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</si>
  <si>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</si>
  <si>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</si>
  <si>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</si>
  <si>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</si>
  <si>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</si>
  <si>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</si>
  <si>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</si>
  <si>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</si>
  <si>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</si>
  <si>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</si>
  <si>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</si>
  <si>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</si>
  <si>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</si>
  <si>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</si>
  <si>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</si>
  <si>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</si>
  <si>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</si>
  <si>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</si>
  <si>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</si>
  <si>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</si>
  <si>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</si>
  <si>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</si>
  <si>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</si>
  <si>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</si>
  <si>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</si>
  <si>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</si>
  <si>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</si>
  <si>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</si>
  <si>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</si>
  <si>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</si>
  <si>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</si>
  <si>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</si>
  <si>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</si>
  <si>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</si>
  <si>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</si>
  <si>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</si>
  <si>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</si>
  <si>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</si>
  <si>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</si>
  <si>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</si>
  <si>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</si>
  <si>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</si>
  <si>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</si>
  <si>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</si>
  <si>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</si>
  <si>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</si>
  <si>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</si>
  <si>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</si>
  <si>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</si>
  <si>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</si>
  <si>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</si>
  <si>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</si>
  <si>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</si>
  <si>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</si>
  <si>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</si>
  <si>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</si>
  <si>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</si>
  <si>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</si>
  <si>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</si>
  <si>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</si>
  <si>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</si>
  <si>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</si>
  <si>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</si>
  <si>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</si>
  <si>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</si>
  <si>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</si>
  <si>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</si>
  <si>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</si>
  <si>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</si>
  <si>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</si>
  <si>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</si>
  <si>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</si>
  <si>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</si>
  <si>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</si>
  <si>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</si>
  <si>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</si>
  <si>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</si>
  <si>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</si>
  <si>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</si>
  <si>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</si>
  <si>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</si>
  <si>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</si>
  <si>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</si>
  <si>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</si>
  <si>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</si>
  <si>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</si>
  <si>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</si>
  <si>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</si>
  <si>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</si>
  <si>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</si>
  <si>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</si>
  <si>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</si>
  <si>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</si>
  <si>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</si>
  <si>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</si>
  <si>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</si>
  <si>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</si>
  <si>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</si>
  <si>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</si>
  <si>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</si>
  <si>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</si>
  <si>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</si>
  <si>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</si>
  <si>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</si>
  <si>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</si>
  <si>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</si>
  <si>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</si>
  <si>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</si>
  <si>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</si>
  <si>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</si>
  <si>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</si>
  <si>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</si>
  <si>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</si>
  <si>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</si>
  <si>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</si>
  <si>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</si>
  <si>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</si>
  <si>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</si>
  <si>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</si>
  <si>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</si>
  <si>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</si>
  <si>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</si>
  <si>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</si>
  <si>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</si>
  <si>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</si>
  <si>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</si>
  <si>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</si>
  <si>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</si>
  <si>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</si>
  <si>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</si>
  <si>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</si>
  <si>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</si>
  <si>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</si>
  <si>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</si>
  <si>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</si>
  <si>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</si>
  <si>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</si>
  <si>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</si>
  <si>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</si>
  <si>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</si>
  <si>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</si>
  <si>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</si>
  <si>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</si>
  <si>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</si>
  <si>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</si>
  <si>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</si>
  <si>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</si>
  <si>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</si>
  <si>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</si>
  <si>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</si>
  <si>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</si>
  <si>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</si>
  <si>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</si>
  <si>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</si>
  <si>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</si>
  <si>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</si>
  <si>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</si>
  <si>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</si>
  <si>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</si>
  <si>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</si>
  <si>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</si>
  <si>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</si>
  <si>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</si>
  <si>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</si>
  <si>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</si>
  <si>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</si>
  <si>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</si>
  <si>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</si>
  <si>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</si>
  <si>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</si>
  <si>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</si>
  <si>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</si>
  <si>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</si>
  <si>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</si>
  <si>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</si>
  <si>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</si>
  <si>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</si>
  <si>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</si>
  <si>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</si>
  <si>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</si>
  <si>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</si>
  <si>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</si>
  <si>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</si>
  <si>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</si>
  <si>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</si>
  <si>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</si>
  <si>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</si>
  <si>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</si>
  <si>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</si>
  <si>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</si>
  <si>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</si>
  <si>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</si>
  <si>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</si>
  <si>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</si>
  <si>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</si>
  <si>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</si>
  <si>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</si>
  <si>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</si>
  <si>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</si>
  <si>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</si>
  <si>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</si>
  <si>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</si>
  <si>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</si>
  <si>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</si>
  <si>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</si>
  <si>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</si>
  <si>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</si>
  <si>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</si>
  <si>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</si>
  <si>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</si>
  <si>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</si>
  <si>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</si>
  <si>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</si>
  <si>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</si>
  <si>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</si>
  <si>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</si>
  <si>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</si>
  <si>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</si>
  <si>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</si>
  <si>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</si>
  <si>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</si>
  <si>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</si>
  <si>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</si>
  <si>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</si>
  <si>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</si>
  <si>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</si>
  <si>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</si>
  <si>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</si>
  <si>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</si>
  <si>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</si>
  <si>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</si>
  <si>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</si>
  <si>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</si>
  <si>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</si>
  <si>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</si>
  <si>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</si>
  <si>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</si>
  <si>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</si>
  <si>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</si>
  <si>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</si>
  <si>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</si>
  <si>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</si>
  <si>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</si>
  <si>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</si>
  <si>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</si>
  <si>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</si>
  <si>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</si>
  <si>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</si>
  <si>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</si>
  <si>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</si>
  <si>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</si>
  <si>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</si>
  <si>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</si>
  <si>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</si>
  <si>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</si>
  <si>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</si>
  <si>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</si>
  <si>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</si>
  <si>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</si>
  <si>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</si>
  <si>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</si>
  <si>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</si>
  <si>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</si>
  <si>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</si>
  <si>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</si>
  <si>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</si>
  <si>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</si>
  <si>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</si>
  <si>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</si>
  <si>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</si>
  <si>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</si>
  <si>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</si>
  <si>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</si>
  <si>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</si>
  <si>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</si>
  <si>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</si>
  <si>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</si>
  <si>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</si>
  <si>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</si>
  <si>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</si>
  <si>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</si>
  <si>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</si>
  <si>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</si>
  <si>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</si>
  <si>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</si>
  <si>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</si>
  <si>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</si>
  <si>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</si>
  <si>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</si>
  <si>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</si>
  <si>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</si>
  <si>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</si>
  <si>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</si>
  <si>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</si>
  <si>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</si>
  <si>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</si>
  <si>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</si>
  <si>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</si>
  <si>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</si>
  <si>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</si>
  <si>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</si>
  <si>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</si>
  <si>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</si>
  <si>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</si>
  <si>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</si>
  <si>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</si>
  <si>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</si>
  <si>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</si>
  <si>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</si>
  <si>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</si>
  <si>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</si>
  <si>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</si>
  <si>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</si>
  <si>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</si>
  <si>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</si>
  <si>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</si>
  <si>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</si>
  <si>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</si>
  <si>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</si>
  <si>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</si>
  <si>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</si>
  <si>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</si>
  <si>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</si>
  <si>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</si>
  <si>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</si>
  <si>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</si>
  <si>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</si>
  <si>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</si>
  <si>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</si>
  <si>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</si>
  <si>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</si>
  <si>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</si>
  <si>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</si>
  <si>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</si>
  <si>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</si>
  <si>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</si>
  <si>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</si>
  <si>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</si>
  <si>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</si>
  <si>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</si>
  <si>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</si>
  <si>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</si>
  <si>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</si>
  <si>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</si>
  <si>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</si>
  <si>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</si>
  <si>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</si>
  <si>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</si>
  <si>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</si>
  <si>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</si>
  <si>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</si>
  <si>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</si>
  <si>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</si>
  <si>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</si>
  <si>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</si>
  <si>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</si>
  <si>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</si>
  <si>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</si>
  <si>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</si>
  <si>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</si>
  <si>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</si>
  <si>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</si>
  <si>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</si>
  <si>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</si>
  <si>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</si>
  <si>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</si>
  <si>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</si>
  <si>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</si>
  <si>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</si>
  <si>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</si>
  <si>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</si>
  <si>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</si>
  <si>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</si>
  <si>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</si>
  <si>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</si>
  <si>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</si>
  <si>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</si>
  <si>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</si>
  <si>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</si>
  <si>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</si>
  <si>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</si>
  <si>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</si>
  <si>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</si>
  <si>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</si>
  <si>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</si>
  <si>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</si>
  <si>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</si>
  <si>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</si>
  <si>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</si>
  <si>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</si>
  <si>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</si>
  <si>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</si>
  <si>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</si>
  <si>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</si>
  <si>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</si>
  <si>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</si>
  <si>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</si>
  <si>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</si>
  <si>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</si>
  <si>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</si>
  <si>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</si>
  <si>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</si>
  <si>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</si>
  <si>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</si>
  <si>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</si>
  <si>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</si>
  <si>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</si>
  <si>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</si>
  <si>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</si>
  <si>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</si>
  <si>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</si>
  <si>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</si>
  <si>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</si>
  <si>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</si>
  <si>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</si>
  <si>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</si>
  <si>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</si>
  <si>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</si>
  <si>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</si>
  <si>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</si>
  <si>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</si>
  <si>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</si>
  <si>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</si>
  <si>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</si>
  <si>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</si>
  <si>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</si>
  <si>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</si>
  <si>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</si>
  <si>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</si>
  <si>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</si>
  <si>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</si>
  <si>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</si>
  <si>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</si>
  <si>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</si>
  <si>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</si>
  <si>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</si>
  <si>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</si>
  <si>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</si>
  <si>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</si>
  <si>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</si>
  <si>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</si>
  <si>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</si>
  <si>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</si>
  <si>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</si>
  <si>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</si>
  <si>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</si>
  <si>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</si>
  <si>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</si>
  <si>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</si>
  <si>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</si>
  <si>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</si>
  <si>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</si>
  <si>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</si>
  <si>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</si>
  <si>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</si>
  <si>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</si>
  <si>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</si>
  <si>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</si>
  <si>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</si>
  <si>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</si>
  <si>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</si>
  <si>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</si>
  <si>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</si>
  <si>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</si>
  <si>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</si>
  <si>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</si>
  <si>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</si>
  <si>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</si>
  <si>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</si>
  <si>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</si>
  <si>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</si>
  <si>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</si>
  <si>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</si>
  <si>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</si>
  <si>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</si>
  <si>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</si>
  <si>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</si>
  <si>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</si>
  <si>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</si>
  <si>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</si>
  <si>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</si>
  <si>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</si>
  <si>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</si>
  <si>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</si>
  <si>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</si>
  <si>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</si>
  <si>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</si>
  <si>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</si>
  <si>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</si>
  <si>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</si>
  <si>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</si>
  <si>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</si>
  <si>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</si>
  <si>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</si>
  <si>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</si>
  <si>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</si>
  <si>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</si>
  <si>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</si>
  <si>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</si>
  <si>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</si>
  <si>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</si>
  <si>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</si>
  <si>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</si>
  <si>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</si>
  <si>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</si>
  <si>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</si>
  <si>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</si>
  <si>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</si>
  <si>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</si>
  <si>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</si>
  <si>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</si>
  <si>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</si>
  <si>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</si>
  <si>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</si>
  <si>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</si>
  <si>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</si>
  <si>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</si>
  <si>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</si>
  <si>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</si>
  <si>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</si>
  <si>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</si>
  <si>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</si>
  <si>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</si>
  <si>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</si>
  <si>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</si>
  <si>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</si>
  <si>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</si>
  <si>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</si>
  <si>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</si>
  <si>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</si>
  <si>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</si>
  <si>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</si>
  <si>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</si>
  <si>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</si>
  <si>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</si>
  <si>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</si>
  <si>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</si>
  <si>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</si>
  <si>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</si>
  <si>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</si>
  <si>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</si>
  <si>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</si>
  <si>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</si>
  <si>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</si>
  <si>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</si>
  <si>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</si>
  <si>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</si>
  <si>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</si>
  <si>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</si>
  <si>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</si>
  <si>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</si>
  <si>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</si>
  <si>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</si>
  <si>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</si>
  <si>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</si>
  <si>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</si>
  <si>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</si>
  <si>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</si>
  <si>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</si>
  <si>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</si>
  <si>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</si>
  <si>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</si>
  <si>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</si>
  <si>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</si>
  <si>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</si>
  <si>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</si>
  <si>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</si>
  <si>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</si>
  <si>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</si>
  <si>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</si>
  <si>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</si>
  <si>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</si>
  <si>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</si>
  <si>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</si>
  <si>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</si>
  <si>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</si>
  <si>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</si>
  <si>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</si>
  <si>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</si>
  <si>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</si>
  <si>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</si>
  <si>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</si>
  <si>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</si>
  <si>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</si>
  <si>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</si>
  <si>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</si>
  <si>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</si>
  <si>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</si>
  <si>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</si>
  <si>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</si>
  <si>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</si>
  <si>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</si>
  <si>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</si>
  <si>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</si>
  <si>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</si>
  <si>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</si>
  <si>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</si>
  <si>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</si>
  <si>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</si>
  <si>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</si>
  <si>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</si>
  <si>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</si>
  <si>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</si>
  <si>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</si>
  <si>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</si>
  <si>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</si>
  <si>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</si>
  <si>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</si>
  <si>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</si>
  <si>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</si>
  <si>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</si>
  <si>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</si>
  <si>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</si>
  <si>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</si>
  <si>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</si>
  <si>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</si>
  <si>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</si>
  <si>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</si>
  <si>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</si>
  <si>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</si>
  <si>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</si>
  <si>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</si>
  <si>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</si>
  <si>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</si>
  <si>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</si>
  <si>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</si>
  <si>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</si>
  <si>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</si>
  <si>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</si>
  <si>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</si>
  <si>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</si>
  <si>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</si>
  <si>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</si>
  <si>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</si>
  <si>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</si>
  <si>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</si>
  <si>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</si>
  <si>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</si>
  <si>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</si>
  <si>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</si>
  <si>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</si>
  <si>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</si>
  <si>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</si>
  <si>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</si>
  <si>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</si>
  <si>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</si>
  <si>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</si>
  <si>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</si>
  <si>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</si>
  <si>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</si>
  <si>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</si>
  <si>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</si>
  <si>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</si>
  <si>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</si>
  <si>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</si>
  <si>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</si>
  <si>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</si>
  <si>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</si>
  <si>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</si>
  <si>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</si>
  <si>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</si>
  <si>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</si>
  <si>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</si>
  <si>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</si>
  <si>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</si>
  <si>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</si>
  <si>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</si>
  <si>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</si>
  <si>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</si>
  <si>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</si>
  <si>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</si>
  <si>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</si>
  <si>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</si>
  <si>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</si>
  <si>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</si>
  <si>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</si>
  <si>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</si>
  <si>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</si>
  <si>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</si>
  <si>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</si>
  <si>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</si>
  <si>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</si>
  <si>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</si>
  <si>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</si>
  <si>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</si>
  <si>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</si>
  <si>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</si>
  <si>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</si>
  <si>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</si>
  <si>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</si>
  <si>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</si>
  <si>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</si>
  <si>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</si>
  <si>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</si>
  <si>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</si>
  <si>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</si>
  <si>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</si>
  <si>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</si>
  <si>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</si>
  <si>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</si>
  <si>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</si>
  <si>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</si>
  <si>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</si>
  <si>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</si>
  <si>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</si>
  <si>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</si>
  <si>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</si>
  <si>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</si>
  <si>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</si>
  <si>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</si>
  <si>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</si>
  <si>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</si>
  <si>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</si>
  <si>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</si>
  <si>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</si>
  <si>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</si>
  <si>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</si>
  <si>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</si>
  <si>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</si>
  <si>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</si>
  <si>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</si>
  <si>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</si>
  <si>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</si>
  <si>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</si>
  <si>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</si>
  <si>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</si>
  <si>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</si>
  <si>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</si>
  <si>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</si>
  <si>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</si>
  <si>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</si>
  <si>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</si>
  <si>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</si>
  <si>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</si>
  <si>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</si>
  <si>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</si>
  <si>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</si>
  <si>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</si>
  <si>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</si>
  <si>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</si>
  <si>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</si>
  <si>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</si>
  <si>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</si>
  <si>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</si>
  <si>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</si>
  <si>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</si>
  <si>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</si>
  <si>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</si>
  <si>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</si>
  <si>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</si>
  <si>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</si>
  <si>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</si>
  <si>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</si>
  <si>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</si>
  <si>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</si>
  <si>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</si>
  <si>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</si>
  <si>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</si>
  <si>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</si>
  <si>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</si>
  <si>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</si>
  <si>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</si>
  <si>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</si>
  <si>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</si>
  <si>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</si>
  <si>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</si>
  <si>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</si>
  <si>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</si>
  <si>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</si>
  <si>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</si>
  <si>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</si>
  <si>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</si>
  <si>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</si>
  <si>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</si>
  <si>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</si>
  <si>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</si>
  <si>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</si>
  <si>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</si>
  <si>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</si>
  <si>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</si>
  <si>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</si>
  <si>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</si>
  <si>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</si>
  <si>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</si>
  <si>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</si>
  <si>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</si>
  <si>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</si>
  <si>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</si>
  <si>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</si>
  <si>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</si>
  <si>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</si>
  <si>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</si>
  <si>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</si>
  <si>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</si>
  <si>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</si>
  <si>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</si>
  <si>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</si>
  <si>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</si>
  <si>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</si>
  <si>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</si>
  <si>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</si>
  <si>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</si>
  <si>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</si>
  <si>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</si>
  <si>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</si>
  <si>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</si>
  <si>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</si>
  <si>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</si>
  <si>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</si>
  <si>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</si>
  <si>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</si>
  <si>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</si>
  <si>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</si>
  <si>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</si>
  <si>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</si>
  <si>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</si>
  <si>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</si>
  <si>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</si>
  <si>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</si>
  <si>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</si>
  <si>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</si>
  <si>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</si>
  <si>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</si>
  <si>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</si>
  <si>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</si>
  <si>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</si>
  <si>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</si>
  <si>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</si>
  <si>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</si>
  <si>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</si>
  <si>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</si>
  <si>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</si>
  <si>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</si>
  <si>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</si>
  <si>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</si>
  <si>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</si>
  <si>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</si>
  <si>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</si>
  <si>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</si>
  <si>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</si>
  <si>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</si>
  <si>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</si>
  <si>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</si>
  <si>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</si>
  <si>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</si>
  <si>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</si>
  <si>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</si>
  <si>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</si>
  <si>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</si>
  <si>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</si>
  <si>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</si>
  <si>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</si>
  <si>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</si>
  <si>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</si>
  <si>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</si>
  <si>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</si>
  <si>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</si>
  <si>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</si>
  <si>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</si>
  <si>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</si>
  <si>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</si>
  <si>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</si>
  <si>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</si>
  <si>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</si>
  <si>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</si>
  <si>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</si>
  <si>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</si>
  <si>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</si>
  <si>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</si>
  <si>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</si>
  <si>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</si>
  <si>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</si>
  <si>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</si>
  <si>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</si>
  <si>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</si>
  <si>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</si>
  <si>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</si>
  <si>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</si>
  <si>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</si>
  <si>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</si>
  <si>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</si>
  <si>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</si>
  <si>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</si>
  <si>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</si>
  <si>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</si>
  <si>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</si>
  <si>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</si>
  <si>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</si>
  <si>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</si>
  <si>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</si>
  <si>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</si>
  <si>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</si>
  <si>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</si>
  <si>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</si>
  <si>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</si>
  <si>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</si>
  <si>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</si>
  <si>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</si>
  <si>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</si>
  <si>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</si>
  <si>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</si>
  <si>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</si>
  <si>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</si>
  <si>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</si>
  <si>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</si>
  <si>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</si>
  <si>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</si>
  <si>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</si>
  <si>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</si>
  <si>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</si>
  <si>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</si>
  <si>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</si>
  <si>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</si>
  <si>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</si>
  <si>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</si>
  <si>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</si>
  <si>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</si>
  <si>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</si>
  <si>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</si>
  <si>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</si>
  <si>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</si>
  <si>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</si>
  <si>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</si>
  <si>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</si>
  <si>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</si>
  <si>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</si>
  <si>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</si>
  <si>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</si>
  <si>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</si>
  <si>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</si>
  <si>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</si>
  <si>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</si>
  <si>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</si>
  <si>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</si>
  <si>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</si>
  <si>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</si>
  <si>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</si>
  <si>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</si>
  <si>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</si>
  <si>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</si>
  <si>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</si>
  <si>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</si>
  <si>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</si>
  <si>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</si>
  <si>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</si>
  <si>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</si>
  <si>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</si>
  <si>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</si>
  <si>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</si>
  <si>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</si>
  <si>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</si>
  <si>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</si>
  <si>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</si>
  <si>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</si>
  <si>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</si>
  <si>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</si>
  <si>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</si>
  <si>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</si>
  <si>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</si>
  <si>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</si>
  <si>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</si>
  <si>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</si>
  <si>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</si>
  <si>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</si>
  <si>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</si>
  <si>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</si>
  <si>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</si>
  <si>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</si>
  <si>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</si>
  <si>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</si>
  <si>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</si>
  <si>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</si>
  <si>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</si>
  <si>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</si>
  <si>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</si>
  <si>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</si>
  <si>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</si>
  <si>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</si>
  <si>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</si>
  <si>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</si>
  <si>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</si>
  <si>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</si>
  <si>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</si>
  <si>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</si>
  <si>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</si>
  <si>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</si>
  <si>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</si>
  <si>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</si>
  <si>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</si>
  <si>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</si>
  <si>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</si>
  <si>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</si>
  <si>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</si>
  <si>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</si>
  <si>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</si>
  <si>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</si>
  <si>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</si>
  <si>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</si>
  <si>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</si>
  <si>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</si>
  <si>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</si>
  <si>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</si>
  <si>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</si>
  <si>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</si>
  <si>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</si>
  <si>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</si>
  <si>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</si>
  <si>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</si>
  <si>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</si>
  <si>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</si>
  <si>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</si>
  <si>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</si>
  <si>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</si>
  <si>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</si>
  <si>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</si>
  <si>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</si>
  <si>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</si>
  <si>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</si>
  <si>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</si>
  <si>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</si>
  <si>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</si>
  <si>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</si>
  <si>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</si>
  <si>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</si>
  <si>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</si>
  <si>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</si>
  <si>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</si>
  <si>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</si>
  <si>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</si>
  <si>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</si>
  <si>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</si>
  <si>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</si>
  <si>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</si>
  <si>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</si>
  <si>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</si>
  <si>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</si>
  <si>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</si>
  <si>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</si>
  <si>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</si>
  <si>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</si>
  <si>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</si>
  <si>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</si>
  <si>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</si>
  <si>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</si>
  <si>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</si>
  <si>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</si>
  <si>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</si>
  <si>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</si>
  <si>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</si>
  <si>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</si>
  <si>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</si>
  <si>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</si>
  <si>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</si>
  <si>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</si>
  <si>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</si>
  <si>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</si>
  <si>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</si>
  <si>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</si>
  <si>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</si>
  <si>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</si>
  <si>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</si>
  <si>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</si>
  <si>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</si>
  <si>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</si>
  <si>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</si>
  <si>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</si>
  <si>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</si>
  <si>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</si>
  <si>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</si>
  <si>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</si>
  <si>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</si>
  <si>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</si>
  <si>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</si>
  <si>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</si>
  <si>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</si>
  <si>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</si>
  <si>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</si>
  <si>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</si>
  <si>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</si>
  <si>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</si>
  <si>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</si>
  <si>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</si>
  <si>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</si>
  <si>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</si>
  <si>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</si>
  <si>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</si>
  <si>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</si>
  <si>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</si>
  <si>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</si>
  <si>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</si>
  <si>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</si>
  <si>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</si>
  <si>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</si>
  <si>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</si>
  <si>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</si>
  <si>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</si>
  <si>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</si>
  <si>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</si>
  <si>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</si>
  <si>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</si>
  <si>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</si>
  <si>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</si>
  <si>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</si>
  <si>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</si>
  <si>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</si>
  <si>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</si>
  <si>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</si>
  <si>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</si>
  <si>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</si>
  <si>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</si>
  <si>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</si>
  <si>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</si>
  <si>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</si>
  <si>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</si>
  <si>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</si>
  <si>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</si>
  <si>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</si>
  <si>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</si>
  <si>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</si>
  <si>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</si>
  <si>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</si>
  <si>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</si>
  <si>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</si>
  <si>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</si>
  <si>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</si>
  <si>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</si>
  <si>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</si>
  <si>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</si>
  <si>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</si>
  <si>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</si>
  <si>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</si>
  <si>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</si>
  <si>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</si>
  <si>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</si>
  <si>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</si>
  <si>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</si>
  <si>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</si>
  <si>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</si>
  <si>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</si>
  <si>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</si>
  <si>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</si>
  <si>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</si>
  <si>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</si>
  <si>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</si>
  <si>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</si>
  <si>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</si>
  <si>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</si>
  <si>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</si>
  <si>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</si>
  <si>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</si>
  <si>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</si>
  <si>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</si>
  <si>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</si>
  <si>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</si>
  <si>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</si>
  <si>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</si>
  <si>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</si>
  <si>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</si>
  <si>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</si>
  <si>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</si>
  <si>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</si>
  <si>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</si>
  <si>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</si>
  <si>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</si>
  <si>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</si>
  <si>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</si>
  <si>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</si>
  <si>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</si>
  <si>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</si>
  <si>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</si>
  <si>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</si>
  <si>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</si>
  <si>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</si>
  <si>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</si>
  <si>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</si>
  <si>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</si>
  <si>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</si>
  <si>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</si>
  <si>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</si>
  <si>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</si>
  <si>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</si>
  <si>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</si>
  <si>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</si>
  <si>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</si>
  <si>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</si>
  <si>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</si>
  <si>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</si>
  <si>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</si>
  <si>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</si>
  <si>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</si>
  <si>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</si>
  <si>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</si>
  <si>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</si>
  <si>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</si>
  <si>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</si>
  <si>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</si>
  <si>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</si>
  <si>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</si>
  <si>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</si>
  <si>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</si>
  <si>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</si>
  <si>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</si>
  <si>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</si>
  <si>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</si>
  <si>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</si>
  <si>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</si>
  <si>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</si>
  <si>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</si>
  <si>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</si>
  <si>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</si>
  <si>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</si>
  <si>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</si>
  <si>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</si>
  <si>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</si>
  <si>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</si>
  <si>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</si>
  <si>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</si>
  <si>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</si>
  <si>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</si>
  <si>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</si>
  <si>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</si>
  <si>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</si>
  <si>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</si>
  <si>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</si>
  <si>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</si>
  <si>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</si>
  <si>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</si>
  <si>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</si>
  <si>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</si>
  <si>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</si>
  <si>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</si>
  <si>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</si>
  <si>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</si>
  <si>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</si>
  <si>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</si>
  <si>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</si>
  <si>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</si>
  <si>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</si>
  <si>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</si>
  <si>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</si>
  <si>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</si>
  <si>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</si>
  <si>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</si>
  <si>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</si>
  <si>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</si>
  <si>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</si>
  <si>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</si>
  <si>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</si>
  <si>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</si>
  <si>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</si>
  <si>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</si>
  <si>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</si>
  <si>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</si>
  <si>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</si>
  <si>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</si>
  <si>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</si>
  <si>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</si>
  <si>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</si>
  <si>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</si>
  <si>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</si>
  <si>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</si>
  <si>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</si>
  <si>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</si>
  <si>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</si>
  <si>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</si>
  <si>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</si>
  <si>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</si>
  <si>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</si>
  <si>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</si>
  <si>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</si>
  <si>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</si>
  <si>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</si>
  <si>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</si>
  <si>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</si>
  <si>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</si>
  <si>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</si>
  <si>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</si>
  <si>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</si>
  <si>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</si>
  <si>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</si>
  <si>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</si>
  <si>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</si>
  <si>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</si>
  <si>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</si>
  <si>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</si>
  <si>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</si>
  <si>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</si>
  <si>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</si>
  <si>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</si>
  <si>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</si>
  <si>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</si>
  <si>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</si>
  <si>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</si>
  <si>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</si>
  <si>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</si>
  <si>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</si>
  <si>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</si>
  <si>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</si>
  <si>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</si>
  <si>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</si>
  <si>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</si>
  <si>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</si>
  <si>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</si>
  <si>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</si>
  <si>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</si>
  <si>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</si>
  <si>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</si>
  <si>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</si>
  <si>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</si>
  <si>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</si>
  <si>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</si>
  <si>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</si>
  <si>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</si>
  <si>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</si>
  <si>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</si>
  <si>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</si>
  <si>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</si>
  <si>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</si>
  <si>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</si>
  <si>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</si>
  <si>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</si>
  <si>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</si>
  <si>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</si>
  <si>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</si>
  <si>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</si>
  <si>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</si>
  <si>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</si>
  <si>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</si>
  <si>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</si>
  <si>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</si>
  <si>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</si>
  <si>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</si>
  <si>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</si>
  <si>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</si>
  <si>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</si>
  <si>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</si>
  <si>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</si>
  <si>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</si>
  <si>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</si>
  <si>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</si>
  <si>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</si>
  <si>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</si>
  <si>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</si>
  <si>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</si>
  <si>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</si>
  <si>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</si>
  <si>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</si>
  <si>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</si>
  <si>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</si>
  <si>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</si>
  <si>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</si>
  <si>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</si>
  <si>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</si>
  <si>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</si>
  <si>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</si>
  <si>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</si>
  <si>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</si>
  <si>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</si>
  <si>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</si>
  <si>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</si>
  <si>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</si>
  <si>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</si>
  <si>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</si>
  <si>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</si>
  <si>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</si>
  <si>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</si>
  <si>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</si>
  <si>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</si>
  <si>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</si>
  <si>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</si>
  <si>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</si>
  <si>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</si>
  <si>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</si>
  <si>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</si>
  <si>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</si>
  <si>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</si>
  <si>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</si>
  <si>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</si>
  <si>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</si>
  <si>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</si>
  <si>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</si>
  <si>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</si>
  <si>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</si>
  <si>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</si>
  <si>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</si>
  <si>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</si>
  <si>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</si>
  <si>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</si>
  <si>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</si>
  <si>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</si>
  <si>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</si>
  <si>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</si>
  <si>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</si>
  <si>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</si>
  <si>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</si>
  <si>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</si>
  <si>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</si>
  <si>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</si>
  <si>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</si>
  <si>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</si>
  <si>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</si>
  <si>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</si>
  <si>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</si>
  <si>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</si>
  <si>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</si>
  <si>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</si>
  <si>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</si>
  <si>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</si>
  <si>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</si>
  <si>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</si>
  <si>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</si>
  <si>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</si>
  <si>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</si>
  <si>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</si>
  <si>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</si>
  <si>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</si>
  <si>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</si>
  <si>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</si>
  <si>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</si>
  <si>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</si>
  <si>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</si>
  <si>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</si>
  <si>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</si>
  <si>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</si>
  <si>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</si>
  <si>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</si>
  <si>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</si>
  <si>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</si>
  <si>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</si>
  <si>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</si>
  <si>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</si>
  <si>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</si>
  <si>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</si>
  <si>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</si>
  <si>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</si>
  <si>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</si>
  <si>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</si>
  <si>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</si>
  <si>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</si>
  <si>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</si>
  <si>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</si>
  <si>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</si>
  <si>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</si>
  <si>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</si>
  <si>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</si>
  <si>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</si>
  <si>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</si>
  <si>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</si>
  <si>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</si>
  <si>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</si>
  <si>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</si>
  <si>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</si>
  <si>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</si>
  <si>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</si>
  <si>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</si>
  <si>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</si>
  <si>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</si>
  <si>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</si>
  <si>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</si>
  <si>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</si>
  <si>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</si>
  <si>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</si>
  <si>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</si>
  <si>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</si>
  <si>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</si>
  <si>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</si>
  <si>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</si>
  <si>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</si>
  <si>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</si>
  <si>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</si>
  <si>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</si>
  <si>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</si>
  <si>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</si>
  <si>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</si>
  <si>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</si>
  <si>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</si>
  <si>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</si>
  <si>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</si>
  <si>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</si>
  <si>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</si>
  <si>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</si>
  <si>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</si>
  <si>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</si>
  <si>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</si>
  <si>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</si>
  <si>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</si>
  <si>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</si>
  <si>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</si>
  <si>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</si>
  <si>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</si>
  <si>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</si>
  <si>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</si>
  <si>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</si>
  <si>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</si>
  <si>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</si>
  <si>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</si>
  <si>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</si>
  <si>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</si>
  <si>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</si>
  <si>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</si>
  <si>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</si>
  <si>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</si>
  <si>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</si>
  <si>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</si>
  <si>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</si>
  <si>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</si>
  <si>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</si>
  <si>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</si>
  <si>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</si>
  <si>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</si>
  <si>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</si>
  <si>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</si>
  <si>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</si>
  <si>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</si>
  <si>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</si>
  <si>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</si>
  <si>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</si>
  <si>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</si>
  <si>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</si>
  <si>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</si>
  <si>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</si>
  <si>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</si>
  <si>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</si>
  <si>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</si>
  <si>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</si>
  <si>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</si>
  <si>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</si>
  <si>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</si>
  <si>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</si>
  <si>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</si>
  <si>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</si>
  <si>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</si>
  <si>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</si>
  <si>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</si>
  <si>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</si>
  <si>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</si>
  <si>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</si>
  <si>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</si>
  <si>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</si>
  <si>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</si>
  <si>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</si>
  <si>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</si>
  <si>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</si>
  <si>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</si>
  <si>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</si>
  <si>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</si>
  <si>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</si>
  <si>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</si>
  <si>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</si>
  <si>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</si>
  <si>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</si>
  <si>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</si>
  <si>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</si>
  <si>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</si>
  <si>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</si>
  <si>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</si>
  <si>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</si>
  <si>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</si>
  <si>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</si>
  <si>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</si>
  <si>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</si>
  <si>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</si>
  <si>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</si>
  <si>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</si>
  <si>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</si>
  <si>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</si>
  <si>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</si>
  <si>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</si>
  <si>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</si>
  <si>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</si>
  <si>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</si>
  <si>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</si>
  <si>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</si>
  <si>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</si>
  <si>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</si>
  <si>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</si>
  <si>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</si>
  <si>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</si>
  <si>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</si>
  <si>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办公</t>
    <phoneticPr fontId="7" type="noConversion"/>
  </si>
  <si>
    <t>成新度</t>
  </si>
  <si>
    <t>利息：取LPR加浮动点数</t>
  </si>
  <si>
    <t>商务金融用地</t>
  </si>
  <si>
    <t>与级别开发程度不一致</t>
  </si>
  <si>
    <t>通路</t>
  </si>
  <si>
    <t>通电</t>
  </si>
  <si>
    <t>通讯</t>
  </si>
  <si>
    <t>通上水</t>
  </si>
  <si>
    <t>通下水</t>
  </si>
  <si>
    <t>平整</t>
  </si>
  <si>
    <t>未包含在土地购买价格中</t>
  </si>
  <si>
    <t>全部缴纳</t>
  </si>
  <si>
    <t>已包含在土地取得成本中</t>
  </si>
  <si>
    <t>自定义容积率</t>
  </si>
  <si>
    <t>自定义</t>
  </si>
  <si>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</si>
  <si>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</si>
  <si>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较好</t>
  </si>
  <si>
    <t>好</t>
  </si>
  <si>
    <t>一般</t>
  </si>
  <si>
    <t>砖混</t>
  </si>
  <si>
    <t>租金</t>
    <phoneticPr fontId="3" type="noConversion"/>
  </si>
  <si>
    <t>面积</t>
    <phoneticPr fontId="3" type="noConversion"/>
  </si>
  <si>
    <t>非生产用房</t>
  </si>
  <si>
    <t>收益法 (元)</t>
  </si>
  <si>
    <t>基准地价</t>
  </si>
  <si>
    <t>成本法 (元)</t>
  </si>
  <si>
    <t>2层</t>
    <phoneticPr fontId="134" type="noConversion"/>
  </si>
  <si>
    <r>
      <t>4</t>
    </r>
    <r>
      <rPr>
        <sz val="11"/>
        <color theme="1"/>
        <rFont val="宋体"/>
        <family val="3"/>
        <charset val="134"/>
        <scheme val="minor"/>
      </rPr>
      <t>65平方米</t>
    </r>
    <phoneticPr fontId="134" type="noConversion"/>
  </si>
  <si>
    <t>含物业费含税</t>
    <phoneticPr fontId="134" type="noConversion"/>
  </si>
  <si>
    <t>地下1层</t>
    <phoneticPr fontId="134" type="noConversion"/>
  </si>
  <si>
    <r>
      <t>4</t>
    </r>
    <r>
      <rPr>
        <sz val="11"/>
        <color theme="1"/>
        <rFont val="宋体"/>
        <family val="3"/>
        <charset val="134"/>
        <scheme val="minor"/>
      </rPr>
      <t>25平方米</t>
    </r>
    <phoneticPr fontId="134" type="noConversion"/>
  </si>
  <si>
    <t>物业费0.5</t>
    <phoneticPr fontId="134" type="noConversion"/>
  </si>
  <si>
    <r>
      <rPr>
        <sz val="10"/>
        <color indexed="8"/>
        <rFont val="宋体"/>
        <family val="3"/>
        <charset val="134"/>
      </rPr>
      <t>报价</t>
    </r>
    <r>
      <rPr>
        <sz val="10"/>
        <color indexed="8"/>
        <rFont val="Arial"/>
        <family val="2"/>
      </rPr>
      <t>5.5</t>
    </r>
    <r>
      <rPr>
        <sz val="10"/>
        <color indexed="8"/>
        <rFont val="宋体"/>
        <family val="3"/>
        <charset val="134"/>
      </rPr>
      <t>含物业费含税，物业费</t>
    </r>
    <r>
      <rPr>
        <sz val="10"/>
        <color indexed="8"/>
        <rFont val="Arial"/>
        <family val="2"/>
      </rPr>
      <t>0.5</t>
    </r>
    <phoneticPr fontId="3" type="noConversion"/>
  </si>
  <si>
    <r>
      <rPr>
        <sz val="10"/>
        <color indexed="8"/>
        <rFont val="宋体"/>
        <family val="3"/>
        <charset val="134"/>
      </rPr>
      <t>报价</t>
    </r>
    <r>
      <rPr>
        <sz val="10"/>
        <color indexed="8"/>
        <rFont val="Arial"/>
        <family val="2"/>
      </rPr>
      <t>4</t>
    </r>
    <r>
      <rPr>
        <sz val="10"/>
        <color indexed="8"/>
        <rFont val="宋体"/>
        <family val="3"/>
        <charset val="134"/>
      </rPr>
      <t>含物业费含税，物业费</t>
    </r>
    <r>
      <rPr>
        <sz val="10"/>
        <color indexed="8"/>
        <rFont val="Arial"/>
        <family val="2"/>
      </rPr>
      <t>0.5</t>
    </r>
    <phoneticPr fontId="3" type="noConversion"/>
  </si>
  <si>
    <t>租金/剥离物业费及税费</t>
    <phoneticPr fontId="3" type="noConversion"/>
  </si>
  <si>
    <t>企业</t>
  </si>
  <si>
    <t>北京市</t>
  </si>
  <si>
    <t>楼面单价</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</si>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</sst>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77" fillId="12" borderId="0" xfId="0" applyFont="1" applyFill="1" applyAlignment="1" applyProtection="1">
      <alignment vertical="center"/>
      <protection locked="0"/>
    </xf>
    <xf numFmtId="0" fontId="53" fillId="0" borderId="1" xfId="0" applyFont="1" applyFill="1" applyBorder="1" applyAlignment="1" applyProtection="1">
      <alignment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217591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76191" cy="5371429"/>
        </a:xfrm>
        <a:prstGeom prst="rect">
          <a:avLst/>
        </a:prstGeom>
      </xdr:spPr>
    </xdr:pic>
    <xdr:clientData/>
  </xdr:twoCellAnchor>
  <xdr:twoCellAnchor editAs="oneCell">
    <xdr:from>
      <xdr:col>0</xdr:col>
      <xdr:colOff>0</xdr:colOff>
      <xdr:row>32</xdr:row>
      <xdr:rowOff>0</xdr:rowOff>
    </xdr:from>
    <xdr:to>
      <xdr:col>16</xdr:col>
      <xdr:colOff>579582</xdr:colOff>
      <xdr:row>72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11552382" cy="6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估价对象为北京市房地产，为所有。根据《国有土地使用证》[]，估价对象（分摊）出让国有建设用地使用权面积为1015.54平方米，建筑面积为1486.18平方米。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估价对象为北京市房地产,属开发建设的，该项目尚在开发建设中。根据《国有土地使用证》[]，估价对象（分摊）出让国有建设用地使用权面积为1015.54平方米，规划建筑面积为1486.18平方米。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2023年3月22日（评估专业人员实地查勘之日）</v>
      </c>
    </row>
    <row r="13" spans="1:2" s="1203" customFormat="1">
      <c r="A13" s="1201" t="s">
        <v>529</v>
      </c>
      <c r="B13" s="1202" t="str">
        <f>'预评函-1'!A18</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3396</v>
      </c>
    </row>
    <row r="21" spans="1:2" s="1203" customFormat="1">
      <c r="A21" s="1201" t="s">
        <v>537</v>
      </c>
      <c r="B21" s="1202">
        <f ca="1">'预评函-2'!D7</f>
        <v>22850</v>
      </c>
    </row>
    <row r="22" spans="1:2" s="1203" customFormat="1">
      <c r="A22" s="1201" t="s">
        <v>538</v>
      </c>
      <c r="B22" s="1202" t="str">
        <f ca="1">'预评函-2'!D6</f>
        <v>叁仟叁佰玖拾陆万元整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3396</v>
      </c>
    </row>
    <row r="31" spans="1:2" s="1203" customFormat="1">
      <c r="A31" s="1201" t="s">
        <v>576</v>
      </c>
      <c r="B31" s="1202">
        <f ca="1">'预评函-2'!D15</f>
        <v>22850</v>
      </c>
    </row>
    <row r="32" spans="1:2" s="1203" customFormat="1">
      <c r="A32" s="1201" t="s">
        <v>543</v>
      </c>
      <c r="B32" s="1202" t="str">
        <f ca="1">'预评函-2'!D14</f>
        <v>叁仟叁佰玖拾陆万元整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1486.1799999999998</v>
      </c>
    </row>
    <row r="44" spans="1:2" s="1203" customFormat="1">
      <c r="A44" s="1201" t="s">
        <v>575</v>
      </c>
      <c r="B44" s="1202" t="str">
        <f>'预评函-3'!C2</f>
        <v>(分摊)土地面积</v>
      </c>
    </row>
    <row r="45" spans="1:2" s="1203" customFormat="1">
      <c r="A45" s="1201" t="s">
        <v>547</v>
      </c>
      <c r="B45" s="1202">
        <f>'预评函-3'!C4</f>
        <v>1015.54</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45007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3.74</v>
      </c>
      <c r="D5" s="3025">
        <f>IF(ISERROR(ROUND(POWER(1+E5,A5-C5)*(POWER(1+E5,C5)-1)/(POWER(1+E5,A5)-1),3)),0,ROUND(POWER(1+E5,A5-C5)*(POWER(1+E5,C5)-1)/(POWER(1+E5,A5)-1),4))</f>
        <v>0.17230000000000001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13.75</v>
      </c>
      <c r="D6" s="3025">
        <f>IF(ISERROR(ROUND(POWER(1+E6,A6-C6)*(POWER(1+E6,C6)-1)/(POWER(1+E6,A6)-1),3)),0,ROUND(POWER(1+E6,A6-C6)*(POWER(1+E6,C6)-1)/(POWER(1+E6,A6)-1),4))</f>
        <v>0.48509999999999998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33.76</v>
      </c>
      <c r="D7" s="3025">
        <f>IF(ISERROR(ROUND(POWER(1+E7,A7-C7)*(POWER(1+E7,C7)-1)/(POWER(1+E7,A7)-1),3)),0,ROUND(POWER(1+E7,A7-C7)*(POWER(1+E7,C7)-1)/(POWER(1+E7,A7)-1),4))</f>
        <v>0.7843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58" sqref="M5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45007</v>
      </c>
      <c r="C3" s="2374" t="s">
        <v>2171</v>
      </c>
      <c r="D3" s="2373">
        <f>B3</f>
        <v>45007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8" t="s">
        <v>2177</v>
      </c>
      <c r="E8" s="2391"/>
      <c r="F8" s="2392"/>
      <c r="G8" s="2663"/>
      <c r="H8" s="2663"/>
      <c r="I8" s="2663"/>
      <c r="J8" s="2439"/>
      <c r="K8" s="2614"/>
      <c r="L8" s="2613"/>
      <c r="M8" s="2613"/>
      <c r="N8" s="2439"/>
      <c r="O8" s="2450"/>
      <c r="P8" s="2439"/>
      <c r="Q8" s="2439"/>
      <c r="R8" s="2439"/>
    </row>
    <row r="9" spans="1:30" ht="13.5" thickBot="1">
      <c r="A9" s="2393" t="s">
        <v>2178</v>
      </c>
      <c r="B9" s="2394"/>
      <c r="C9" s="2395"/>
      <c r="D9" s="3509"/>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57017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32.9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1486.1799999999998</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1015.54</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296</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129</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1015.54</v>
      </c>
      <c r="B3" s="11">
        <f>IF(C3="否",G5-AT5,G5)</f>
        <v>1486.1799999999998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1486.1799999999998</v>
      </c>
      <c r="H5" s="13">
        <f t="shared" ref="H5:AT5" si="0">SUM(H13:H656)</f>
        <v>1486.1799999999998</v>
      </c>
      <c r="I5" s="13">
        <f t="shared" si="0"/>
        <v>831.64</v>
      </c>
      <c r="J5" s="13">
        <f t="shared" si="0"/>
        <v>0</v>
      </c>
      <c r="K5" s="13">
        <f t="shared" si="0"/>
        <v>654.54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1486.1799999999998</v>
      </c>
      <c r="BA5" s="15">
        <f t="shared" si="1"/>
        <v>1486.1799999999998</v>
      </c>
      <c r="BB5" s="15">
        <f t="shared" si="1"/>
        <v>831.64</v>
      </c>
      <c r="BC5" s="15">
        <f t="shared" si="1"/>
        <v>654.54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1015.54</v>
      </c>
      <c r="F6" s="13" t="s">
        <v>0</v>
      </c>
      <c r="G6" s="13" t="s">
        <v>1</v>
      </c>
      <c r="H6" s="17">
        <f>SUMIF(I$12:AB$12,"总值",I6:AB6)</f>
        <v>1015.54</v>
      </c>
      <c r="I6" s="13">
        <f t="shared" ref="I6:AB6" si="2">ROUND($A$3*I5/$B$3,2)</f>
        <v>568.28</v>
      </c>
      <c r="J6" s="13">
        <f t="shared" si="2"/>
        <v>0</v>
      </c>
      <c r="K6" s="13">
        <f t="shared" si="2"/>
        <v>447.26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1015.54</v>
      </c>
      <c r="AZ6" s="13" t="s">
        <v>2</v>
      </c>
      <c r="BA6" s="13">
        <f>ROUND($AY$6*BA5/$AZ$5,2)</f>
        <v>1015.54</v>
      </c>
      <c r="BB6" s="13">
        <f>ROUND($AY$6*BB5/$AZ$5,2)</f>
        <v>568.28</v>
      </c>
      <c r="BC6" s="13">
        <f t="shared" ref="BC6:BH6" si="4">ROUND($AY$6*BC5/$AZ$5,2)</f>
        <v>447.26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1015.54</v>
      </c>
      <c r="F13" s="29"/>
      <c r="G13" s="30">
        <f>H13+AC13+AT13</f>
        <v>1486.1799999999998</v>
      </c>
      <c r="H13" s="17">
        <f>SUMIF(I$12:AB$12,"总值",I13:AB13)</f>
        <v>1486.1799999999998</v>
      </c>
      <c r="I13" s="1626">
        <v>831.64</v>
      </c>
      <c r="J13" s="1626"/>
      <c r="K13" s="1626">
        <v>654.54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1015.54</v>
      </c>
      <c r="AZ13" s="13">
        <f>BA13+BL13</f>
        <v>1486.1799999999998</v>
      </c>
      <c r="BA13" s="13">
        <f>SUM(BB13:BK13)</f>
        <v>1486.1799999999998</v>
      </c>
      <c r="BB13" s="13">
        <f>IF($D13="是",I13-J13,0)</f>
        <v>831.64</v>
      </c>
      <c r="BC13" s="13">
        <f>IF($D13="是",K13-L13,0)</f>
        <v>654.54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52" sqref="C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1015.54</v>
      </c>
      <c r="E3" s="43">
        <f>'数据-基础表'!AZ5</f>
        <v>1486.1799999999998</v>
      </c>
      <c r="F3" s="2659"/>
      <c r="G3" s="1145"/>
      <c r="H3" s="1026" t="s">
        <v>1106</v>
      </c>
      <c r="I3" s="855">
        <f>ROUND('数据-基础表'!B3/'数据-基础表'!A3,2)</f>
        <v>1.46</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0.82</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1.46</v>
      </c>
      <c r="J5" s="2659"/>
      <c r="K5" s="2659"/>
      <c r="L5" s="2659"/>
      <c r="M5" s="2659"/>
      <c r="N5" s="2659"/>
      <c r="O5" s="2659"/>
      <c r="P5" s="2659"/>
    </row>
    <row r="6" spans="1:16" ht="15" thickBot="1">
      <c r="A6" s="1644"/>
      <c r="B6" s="3541" t="s">
        <v>1111</v>
      </c>
      <c r="C6" s="3541"/>
      <c r="D6" s="45">
        <f>ROUND($D$3*E6/$E$3,2)</f>
        <v>1015.54</v>
      </c>
      <c r="E6" s="46">
        <f>E3-E5</f>
        <v>1486.1799999999998</v>
      </c>
      <c r="F6" s="2659"/>
      <c r="G6" s="2653" t="s">
        <v>1112</v>
      </c>
      <c r="H6" s="1146" t="s">
        <v>1113</v>
      </c>
      <c r="I6" s="2654">
        <f>ROUND(F31/D31,2)</f>
        <v>0.82</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568.28</v>
      </c>
      <c r="E8" s="48">
        <f>SUMIF('数据-基础表'!BB10:BK10,"地上",'数据-基础表'!BB5:BK5)</f>
        <v>831.64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447.26</v>
      </c>
      <c r="E11" s="48">
        <f>SUMPRODUCT(('数据-基础表'!BB10:BK10="地下")*('数据-基础表'!BB11:BK11="办公")*('数据-基础表'!BB5:BK5))+'数据-基础表'!BP5</f>
        <v>654.54</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1015.54</v>
      </c>
      <c r="E16" s="50">
        <f>SUM(E8:E15)</f>
        <v>1486.1799999999998</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3382</v>
      </c>
      <c r="D19" s="45">
        <f>ROUND($D$3*E19/$E$3,2)</f>
        <v>1015.54</v>
      </c>
      <c r="E19" s="53">
        <f t="shared" ref="E19:E26" si="1">SUM(F19:G19)</f>
        <v>1486.1799999999998</v>
      </c>
      <c r="F19" s="2795">
        <f>'数据-基础表'!I13</f>
        <v>831.64</v>
      </c>
      <c r="G19" s="2796">
        <f>'数据-基础表'!K13</f>
        <v>654.54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1015.54</v>
      </c>
      <c r="S19" s="1027">
        <f t="shared" si="5"/>
        <v>1486.1799999999998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1015.54</v>
      </c>
      <c r="E27" s="1141">
        <f>IF(SUM(E19:E26)='数据-基础表'!BA5,SUM(E19:E26),IF(F27="地上面积有误","面积有误","地下面积有误"))</f>
        <v>1486.1799999999998</v>
      </c>
      <c r="F27" s="1140">
        <f>IF(SUM(F19:F26)=E8,SUM(F19:F26),"地上面积有误")</f>
        <v>831.64</v>
      </c>
      <c r="G27" s="1142">
        <f>SUM(G19:G26)</f>
        <v>654.54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1015.54</v>
      </c>
      <c r="S27" s="1026">
        <f>IF(SUM(S19:S26)=$E$3,SUM(S19:S26),SUM(S19:S26)&amp;"误差"&amp;ROUND(SUM(S19:S26)-E3,2))</f>
        <v>1486.1799999999998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1015.54</v>
      </c>
      <c r="E31" s="676">
        <f>E27+E30</f>
        <v>1486.1799999999998</v>
      </c>
      <c r="F31" s="677">
        <f>F27+F30</f>
        <v>831.64</v>
      </c>
      <c r="G31" s="678">
        <f>G27+G30</f>
        <v>654.54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F6" activePane="bottomRight" state="frozen"/>
      <selection activeCell="C50" sqref="C50"/>
      <selection pane="topRight" activeCell="C50" sqref="C50"/>
      <selection pane="bottomLeft" activeCell="C50" sqref="C50"/>
      <selection pane="bottomRight" activeCell="K17" sqref="K1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57017</v>
      </c>
      <c r="F6" s="64">
        <f>SUMIF(项目基本情况!C$12:I$12,C6,项目基本情况!C$15:I$15)</f>
        <v>32.9</v>
      </c>
      <c r="G6" s="65">
        <f>IF(ISERROR(ROUND(POWER(1+H6,D6-F6)*(POWER(1+H6,F6)-1)/(POWER(1+H6,D6)-1),3)),0,ROUND(POWER(1+H6,D6-F6)*(POWER(1+H6,F6)-1)/(POWER(1+H6,D6)-1),3))</f>
        <v>0.875</v>
      </c>
      <c r="H6" s="732">
        <v>0.05</v>
      </c>
      <c r="I6" s="732">
        <v>5.5E-2</v>
      </c>
      <c r="J6" s="66">
        <v>7.4999999999999997E-2</v>
      </c>
      <c r="K6" s="1030">
        <f>SUMIF('数据-汇总表'!C$19:C$33,A6,'数据-汇总表'!E$19:E$33)</f>
        <v>1486.1799999999998</v>
      </c>
      <c r="L6" s="733">
        <v>2800</v>
      </c>
      <c r="M6" s="67">
        <f t="shared" ref="M6:M14" si="0">ROUND(K6*L6/10000,0)</f>
        <v>416</v>
      </c>
      <c r="N6" s="731">
        <f>ROUND((1-((2023-2001)/50)+85%)/2,2)</f>
        <v>0.71</v>
      </c>
      <c r="O6" s="67" t="str">
        <f>IF($N$5="成新度","——",ROUND(M6*N6,0))</f>
        <v>——</v>
      </c>
      <c r="P6" s="68" t="str">
        <f>IF($N$5="成新度","——",M6-O6)</f>
        <v>——</v>
      </c>
      <c r="Q6" s="734">
        <v>0.15</v>
      </c>
      <c r="R6" s="69">
        <f ca="1">SUMIF('数据-汇总表'!C$19:C$33,A6,'数据-汇总表'!R$19:R$27)</f>
        <v>1015.54</v>
      </c>
      <c r="S6" s="51">
        <f>IF('数据-汇总表'!$I$17="按面积比例",SUMIF('数据-汇总表'!C$19:C$33,A6,'数据-汇总表'!K$19:K$33),SUMIF('数据-汇总表'!C$19:C$33,A6,'数据-汇总表'!N$19:N$33))</f>
        <v>0</v>
      </c>
      <c r="T6" s="1172">
        <f>ROUND($L$14*S6/10000,0)</f>
        <v>0</v>
      </c>
      <c r="U6" s="3428">
        <f>Z21</f>
        <v>4</v>
      </c>
      <c r="V6" s="70">
        <v>2.5000000000000001E-2</v>
      </c>
      <c r="W6" s="70">
        <v>0.1</v>
      </c>
      <c r="X6" s="1040"/>
      <c r="Y6" s="71">
        <f>N6</f>
        <v>0.71</v>
      </c>
      <c r="Z6" s="72"/>
      <c r="AA6" s="66"/>
      <c r="AB6" s="66"/>
      <c r="AC6" s="1040"/>
      <c r="AD6" s="73"/>
      <c r="AE6" s="1041">
        <f ca="1">IF(AN6="",0,SUMIF(INDIRECT("'"&amp;AN6&amp;"'"&amp;"!E:E"),$AE$5,INDIRECT("'"&amp;AN6&amp;"'"&amp;"!F:F")))</f>
        <v>28</v>
      </c>
      <c r="AF6" s="1348"/>
      <c r="AG6" s="138">
        <f>IF(AF6="",0,AE6-AF6)</f>
        <v>0</v>
      </c>
      <c r="AH6" s="74"/>
      <c r="AI6" s="76">
        <v>365</v>
      </c>
      <c r="AJ6" s="77"/>
      <c r="AK6" s="78">
        <v>1.4999999999999999E-2</v>
      </c>
      <c r="AL6" s="79">
        <v>1.5E-3</v>
      </c>
      <c r="AM6" s="80">
        <v>0.01</v>
      </c>
      <c r="AN6" s="1715" t="s">
        <v>3407</v>
      </c>
      <c r="AO6" s="52">
        <f ca="1">SUMIF(INDIRECT("'"&amp;AN6&amp;"'"&amp;"!A:A"),"总价",INDIRECT("'"&amp;AN6&amp;"'"&amp;"!B:B"))</f>
        <v>2754.029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0.875</v>
      </c>
      <c r="H16" s="90">
        <f>ROUND(SUMPRODUCT(H6:H13,K6:K13)/SUMPRODUCT((H6:H13&gt;0)*(K6:K13)),3)</f>
        <v>0.05</v>
      </c>
      <c r="I16" s="91"/>
      <c r="J16" s="91"/>
      <c r="K16" s="92">
        <f>SUM(K6:K15)</f>
        <v>1486.1799999999998</v>
      </c>
      <c r="L16" s="93">
        <f>ROUND(M16*10000/SUM(K6:K14),0)</f>
        <v>2799</v>
      </c>
      <c r="M16" s="93">
        <f>SUM(M6:M14)</f>
        <v>416</v>
      </c>
      <c r="N16" s="94">
        <f>ROUND(SUMPRODUCT(M6:M14,N6:N14)/M16,3)</f>
        <v>0.71</v>
      </c>
      <c r="O16" s="93">
        <f>SUM(O6:O14)</f>
        <v>0</v>
      </c>
      <c r="P16" s="93">
        <f>SUM(P6:P14)</f>
        <v>0</v>
      </c>
      <c r="Q16" s="95">
        <f>ROUND(SUMPRODUCT(Q6:Q13,K6:K13)/SUMPRODUCT((Q6:Q13&gt;0)*(K6:K13)),2)</f>
        <v>0.15</v>
      </c>
      <c r="R16" s="1034">
        <f ca="1">SUM(R6:R13)</f>
        <v>1015.54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1" t="s">
        <v>3404</v>
      </c>
      <c r="V18" s="3452" t="s">
        <v>3405</v>
      </c>
      <c r="W18" s="2671"/>
      <c r="X18" s="2671"/>
      <c r="Y18" s="2671"/>
      <c r="Z18" s="3451" t="s">
        <v>3418</v>
      </c>
      <c r="AA18" s="3452" t="s">
        <v>3405</v>
      </c>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t="s">
        <v>3398</v>
      </c>
      <c r="U19" s="2671">
        <f>399358.18/3/30/'数据-汇总表'!F19</f>
        <v>5.3356177085170406</v>
      </c>
      <c r="V19" s="1681">
        <f>'数据-汇总表'!F19</f>
        <v>831.64</v>
      </c>
      <c r="W19" s="2671">
        <f>V19*U19</f>
        <v>4437.3131111111115</v>
      </c>
      <c r="X19" s="2671"/>
      <c r="Y19" s="2671" t="s">
        <v>3398</v>
      </c>
      <c r="Z19" s="2671">
        <v>4.5999999999999996</v>
      </c>
      <c r="AA19" s="1681">
        <v>831.64</v>
      </c>
      <c r="AB19" s="2671">
        <f>AA19*Z19</f>
        <v>3825.5439999999999</v>
      </c>
      <c r="AC19" s="2671" t="s">
        <v>3416</v>
      </c>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t="s">
        <v>3399</v>
      </c>
      <c r="U20" s="2671">
        <f>U19*(基准地价修正!C40/基准地价修正!C33)</f>
        <v>1.0863244070386118</v>
      </c>
      <c r="V20" s="1681">
        <f>'数据-汇总表'!G19</f>
        <v>654.54</v>
      </c>
      <c r="W20" s="2671">
        <f>V20*U20</f>
        <v>711.04277738305291</v>
      </c>
      <c r="X20" s="2671"/>
      <c r="Y20" s="2671" t="s">
        <v>3399</v>
      </c>
      <c r="Z20" s="2671">
        <v>3.2</v>
      </c>
      <c r="AA20" s="1681">
        <v>654.54</v>
      </c>
      <c r="AB20" s="2671">
        <f>AA20*Z20</f>
        <v>2094.5279999999998</v>
      </c>
      <c r="AC20" s="2671" t="s">
        <v>3417</v>
      </c>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f>ROUND(W21/V21,1)</f>
        <v>3.5</v>
      </c>
      <c r="V21" s="3450">
        <f>V19+V20</f>
        <v>1486.1799999999998</v>
      </c>
      <c r="W21" s="2671">
        <f>W19+W20</f>
        <v>5148.3558884941649</v>
      </c>
      <c r="X21" s="2671"/>
      <c r="Y21" s="2671"/>
      <c r="Z21" s="2671">
        <f>ROUND(AB21/AA21,1)</f>
        <v>4</v>
      </c>
      <c r="AA21" s="3450">
        <f>AA19+AA20</f>
        <v>1486.1799999999998</v>
      </c>
      <c r="AB21" s="2671">
        <f>AB19+AB20</f>
        <v>5920.0720000000001</v>
      </c>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1486.1799999999998</v>
      </c>
      <c r="C1" s="2686"/>
      <c r="D1" s="2686"/>
      <c r="E1" s="2686"/>
      <c r="F1" s="2686"/>
      <c r="G1" s="2687"/>
      <c r="H1" s="2688"/>
      <c r="I1" s="2688"/>
      <c r="J1" s="2688"/>
      <c r="K1" s="2688"/>
    </row>
    <row r="2" spans="1:11" ht="16.5">
      <c r="A2" s="2512" t="s">
        <v>653</v>
      </c>
      <c r="B2" s="2512">
        <f>SUM(C14:C23)</f>
        <v>1015.54</v>
      </c>
      <c r="C2" s="2686"/>
      <c r="D2" s="2686"/>
      <c r="E2" s="2686"/>
      <c r="F2" s="2686"/>
      <c r="G2" s="2687"/>
      <c r="H2" s="2688"/>
      <c r="I2" s="2688"/>
      <c r="J2" s="2688"/>
      <c r="K2" s="2688"/>
    </row>
    <row r="3" spans="1:11" ht="16.5">
      <c r="A3" s="2512" t="s">
        <v>662</v>
      </c>
      <c r="B3" s="2514">
        <f>项目基本情况!D3</f>
        <v>45007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3396</v>
      </c>
      <c r="C5" s="2512">
        <f ca="1">IF(B5=D14,结果表!H102,ROUND(B5*10000/$B$1,0))</f>
        <v>22850</v>
      </c>
      <c r="D5" s="2512">
        <f ca="1">ROUND(B5*10000/$B$2,0)</f>
        <v>33440</v>
      </c>
      <c r="E5" s="2686"/>
      <c r="F5" s="2687"/>
      <c r="G5" s="2687"/>
      <c r="H5" s="2688"/>
      <c r="I5" s="2688"/>
      <c r="J5" s="2688"/>
      <c r="K5" s="2688"/>
    </row>
    <row r="6" spans="1:11" ht="16.5">
      <c r="A6" s="2512" t="s">
        <v>656</v>
      </c>
      <c r="B6" s="2512">
        <f ca="1">SUM(G14:G23)</f>
        <v>3396</v>
      </c>
      <c r="C6" s="2512">
        <f ca="1">IF(B6=G14,结果表!H108,ROUND(B6*10000/$B$1,0))</f>
        <v>22850</v>
      </c>
      <c r="D6" s="2512">
        <f ca="1">ROUND(B6*10000/$B$2,0)</f>
        <v>33440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1486.1799999999998</v>
      </c>
      <c r="C14" s="2518">
        <f>'数据-汇总表'!D3</f>
        <v>1015.54</v>
      </c>
      <c r="D14" s="2518">
        <f ca="1">结果表!G19</f>
        <v>3396</v>
      </c>
      <c r="E14" s="2518">
        <f ca="1">ROUND(D14*10000/B14,0)</f>
        <v>22851</v>
      </c>
      <c r="F14" s="2518">
        <f ca="1">ROUND(D14*10000/C14,0)</f>
        <v>33440</v>
      </c>
      <c r="G14" s="2518">
        <f ca="1">结果表!G19</f>
        <v>3396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F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3409</v>
      </c>
      <c r="D4" s="1756" t="s">
        <v>3407</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3</v>
      </c>
      <c r="D14" s="3581">
        <v>7</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8" t="s">
        <v>2131</v>
      </c>
      <c r="F18" s="3569"/>
      <c r="G18" s="3569"/>
      <c r="H18" s="3569"/>
      <c r="I18" s="3569"/>
      <c r="K18" s="302" t="s">
        <v>1289</v>
      </c>
      <c r="L18" s="302">
        <f>IF(C1="",'数据-汇总表'!E3,SUMIF(项目类型,C1,'数据-汇总表'!E17:E26)+SUMIF(项目类型,C1,'数据-汇总表'!I17:I26))</f>
        <v>1486.1799999999998</v>
      </c>
      <c r="M18" s="302">
        <f>IF(C1="",'数据-汇总表'!E3,SUMIF(项目类型,C1,'数据-汇总表'!E17:E26))</f>
        <v>1486.1799999999998</v>
      </c>
    </row>
    <row r="19" spans="1:36" ht="15">
      <c r="A19" s="1761" t="s">
        <v>1290</v>
      </c>
      <c r="B19" s="1762" t="s">
        <v>1291</v>
      </c>
      <c r="C19" s="134">
        <f ca="1">SUMIF(INDIRECT("'"&amp;C4&amp;"'"&amp;"!A:A"),结果表!B19,INDIRECT("'"&amp;C4&amp;"'"&amp;"!B:B"))</f>
        <v>4893.4066000000003</v>
      </c>
      <c r="D19" s="135">
        <f ca="1">SUMIF(INDIRECT("'"&amp;D4&amp;"'"&amp;"!A:A"),结果表!B19,INDIRECT("'"&amp;D4&amp;"'"&amp;"!B:B"))</f>
        <v>2754.029</v>
      </c>
      <c r="E19" s="1761" t="s">
        <v>1292</v>
      </c>
      <c r="F19" s="1762" t="s">
        <v>1291</v>
      </c>
      <c r="G19" s="136">
        <f ca="1">ROUND(C19*$C$18+D19*$D$18,0)</f>
        <v>3396</v>
      </c>
      <c r="H19" s="1763" t="s">
        <v>1293</v>
      </c>
      <c r="I19" s="129"/>
      <c r="K19" s="302" t="s">
        <v>1294</v>
      </c>
      <c r="L19" s="302">
        <f>IF(C1="",'数据-汇总表'!D3,SUMIF(项目类型,C1,'数据-汇总表'!D17:D26)+SUMIF(项目类型,C1,'数据-汇总表'!H17:H27))</f>
        <v>1015.54</v>
      </c>
      <c r="M19" s="302">
        <f>IF(C1="",'数据-汇总表'!D3,SUMIF(项目类型,C1,'数据-汇总表'!D17:D26))</f>
        <v>1015.54</v>
      </c>
    </row>
    <row r="20" spans="1:36" ht="15">
      <c r="A20" s="1764"/>
      <c r="B20" s="1026" t="s">
        <v>1295</v>
      </c>
      <c r="C20" s="137">
        <f ca="1">SUMIF(INDIRECT("'"&amp;C4&amp;"'"&amp;"!A:A"),结果表!B20,INDIRECT("'"&amp;C4&amp;"'"&amp;"!B:B"))</f>
        <v>32926</v>
      </c>
      <c r="D20" s="138">
        <f ca="1">SUMIF(INDIRECT("'"&amp;D4&amp;"'"&amp;"!A:A"),结果表!B20,INDIRECT("'"&amp;D4&amp;"'"&amp;"!B:B"))</f>
        <v>18531</v>
      </c>
      <c r="E20" s="1764"/>
      <c r="F20" s="1026" t="s">
        <v>1295</v>
      </c>
      <c r="G20" s="139">
        <f ca="1">ROUND(C20*$C$18+D20*$D$18,0)</f>
        <v>22850</v>
      </c>
      <c r="H20" s="808" t="s">
        <v>1296</v>
      </c>
      <c r="I20" s="129"/>
    </row>
    <row r="21" spans="1:36" ht="15" customHeight="1" thickBot="1">
      <c r="A21" s="828"/>
      <c r="B21" s="1765" t="s">
        <v>1297</v>
      </c>
      <c r="C21" s="719">
        <f ca="1">ROUND(C19*10000/L19,0)</f>
        <v>48185</v>
      </c>
      <c r="D21" s="720">
        <f ca="1">ROUND(D19*10000/L19,0)</f>
        <v>27119</v>
      </c>
      <c r="E21" s="828"/>
      <c r="F21" s="1765" t="s">
        <v>1297</v>
      </c>
      <c r="G21" s="140">
        <f ca="1">ROUND(G19*10000/L19,0)</f>
        <v>33440</v>
      </c>
      <c r="H21" s="1766" t="s">
        <v>1296</v>
      </c>
      <c r="I21" s="129"/>
    </row>
    <row r="22" spans="1:36" ht="15" thickBot="1">
      <c r="A22" s="1688" t="s">
        <v>1298</v>
      </c>
      <c r="B22" s="1767"/>
      <c r="C22" s="1768"/>
      <c r="D22" s="721">
        <f ca="1">IF(C19&lt;D19,D19/C19-1,C19/D19-1)</f>
        <v>0.77681738282349255</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22850</v>
      </c>
      <c r="D32" s="1775" t="s">
        <v>3421</v>
      </c>
      <c r="E32" s="129"/>
      <c r="F32" s="129"/>
      <c r="G32" s="129"/>
      <c r="H32" s="129"/>
      <c r="I32" s="129"/>
    </row>
    <row r="33" spans="1:15" ht="15">
      <c r="A33" s="786" t="s">
        <v>1306</v>
      </c>
      <c r="B33" s="1776"/>
      <c r="C33" s="1777" t="s">
        <v>3397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3396</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45007</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8" t="s">
        <v>1340</v>
      </c>
      <c r="L48" s="3608"/>
      <c r="M48" s="3630">
        <f ca="1">H101</f>
        <v>3396</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45"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181</v>
      </c>
      <c r="E52" s="2334" t="s">
        <v>1354</v>
      </c>
      <c r="F52" s="2554">
        <f>'数据-取费表'!B41</f>
        <v>5.6000000000000001E-2</v>
      </c>
      <c r="G52" s="2555"/>
      <c r="H52" s="2544"/>
      <c r="I52" s="1807"/>
      <c r="J52" s="2523">
        <v>1</v>
      </c>
      <c r="K52" s="3609" t="s">
        <v>1355</v>
      </c>
      <c r="L52" s="3609"/>
      <c r="M52" s="2525" t="b">
        <f>D48</f>
        <v>0</v>
      </c>
      <c r="N52" s="2523" t="str">
        <f>E48</f>
        <v>销售额×税（费）率</v>
      </c>
      <c r="O52" s="2526">
        <f>F48</f>
        <v>5.6000000000000001E-2</v>
      </c>
    </row>
    <row r="53" spans="1:35" ht="12" customHeight="1">
      <c r="A53" s="2335" t="s">
        <v>1356</v>
      </c>
      <c r="B53" s="3570" t="s">
        <v>2291</v>
      </c>
      <c r="C53" s="3571"/>
      <c r="D53" s="1087">
        <f ca="1">ROUND(D45*'数据-取费表'!B41/(1+'数据-取费表'!C42),0)</f>
        <v>181</v>
      </c>
      <c r="E53" s="2334" t="s">
        <v>1354</v>
      </c>
      <c r="F53" s="2554">
        <f>'数据-取费表'!B41</f>
        <v>5.6000000000000001E-2</v>
      </c>
      <c r="G53" s="2555"/>
      <c r="H53" s="2544"/>
      <c r="I53" s="1807"/>
      <c r="J53" s="2523">
        <v>2</v>
      </c>
      <c r="K53" s="3609" t="s">
        <v>1357</v>
      </c>
      <c r="L53" s="3609"/>
      <c r="M53" s="2525">
        <f t="shared" ref="M53:O54" ca="1" si="0">D55</f>
        <v>2</v>
      </c>
      <c r="N53" s="2523" t="str">
        <f t="shared" si="0"/>
        <v>销售额×税（费）率</v>
      </c>
      <c r="O53" s="2526" t="str">
        <f t="shared" si="0"/>
        <v>免征</v>
      </c>
    </row>
    <row r="54" spans="1:35" ht="12" customHeight="1">
      <c r="A54" s="2335" t="s">
        <v>1358</v>
      </c>
      <c r="B54" s="3570" t="s">
        <v>2292</v>
      </c>
      <c r="C54" s="3571"/>
      <c r="D54" s="1087">
        <f ca="1">C68</f>
        <v>181</v>
      </c>
      <c r="E54" s="327" t="s">
        <v>1359</v>
      </c>
      <c r="F54" s="2554">
        <f>'数据-取费表'!B41</f>
        <v>5.6000000000000001E-2</v>
      </c>
      <c r="G54" s="2555"/>
      <c r="H54" s="2556"/>
      <c r="I54" s="1807"/>
      <c r="J54" s="2523">
        <v>3</v>
      </c>
      <c r="K54" s="3609" t="s">
        <v>1360</v>
      </c>
      <c r="L54" s="3609"/>
      <c r="M54" s="2525">
        <f t="shared" ca="1" si="0"/>
        <v>1922</v>
      </c>
      <c r="N54" s="2523" t="str">
        <f t="shared" si="0"/>
        <v>增值额×税（费）率</v>
      </c>
      <c r="O54" s="2527" t="str">
        <f t="shared" si="0"/>
        <v>免征</v>
      </c>
    </row>
    <row r="55" spans="1:35" ht="24" customHeight="1">
      <c r="A55" s="3559" t="s">
        <v>1361</v>
      </c>
      <c r="B55" s="3560"/>
      <c r="C55" s="3560"/>
      <c r="D55" s="2324">
        <f ca="1">IF(H55="个人住宅",0,ROUND(D45*I55,0))</f>
        <v>2</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32</v>
      </c>
      <c r="N55" s="2040" t="str">
        <f>E59</f>
        <v>差额计税</v>
      </c>
      <c r="O55" s="2529">
        <f>F59</f>
        <v>0.01</v>
      </c>
    </row>
    <row r="56" spans="1:35" ht="24.75">
      <c r="A56" s="3559" t="s">
        <v>1363</v>
      </c>
      <c r="B56" s="3560"/>
      <c r="C56" s="3560"/>
      <c r="D56" s="2324">
        <f ca="1">IF(H56="个人住宅",D57,D58)</f>
        <v>1922</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1956</v>
      </c>
      <c r="O57" s="2533"/>
      <c r="P57" s="2690" t="e">
        <f ca="1">N57/M49</f>
        <v>#VALUE!</v>
      </c>
    </row>
    <row r="58" spans="1:35" ht="24.75">
      <c r="A58" s="2335" t="s">
        <v>1352</v>
      </c>
      <c r="B58" s="3570" t="s">
        <v>1369</v>
      </c>
      <c r="C58" s="3544"/>
      <c r="D58" s="2324">
        <f ca="1">IF(H58="转让取得",C81,C97)</f>
        <v>1922</v>
      </c>
      <c r="E58" s="2334" t="s">
        <v>1364</v>
      </c>
      <c r="F58" s="302" t="s">
        <v>28</v>
      </c>
      <c r="G58" s="2555"/>
      <c r="H58" s="2558"/>
      <c r="I58" s="1808"/>
      <c r="J58" s="3609"/>
      <c r="K58" s="3609"/>
      <c r="L58" s="2530" t="s">
        <v>1370</v>
      </c>
      <c r="M58" s="2534"/>
      <c r="N58" s="2535" t="str">
        <f ca="1">NUMBERSTRING(INT(N57*10000),2)&amp;"元整"</f>
        <v>壹仟玖佰伍拾陆万元整</v>
      </c>
      <c r="O58" s="2536"/>
    </row>
    <row r="59" spans="1:35" ht="24.75" thickBot="1">
      <c r="A59" s="3612" t="s">
        <v>1371</v>
      </c>
      <c r="B59" s="3613"/>
      <c r="C59" s="3613"/>
      <c r="D59" s="2560">
        <f ca="1">IF(H59="非个人房产","——",IF(H59="个人住宅（满五唯一有凭证）",0,IF(H59="个人其他（无凭证）",ROUND(D45*F59,0),ROUND(C67*F59,0))))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t="e">
        <f ca="1">M49-N57</f>
        <v>#VALUE!</v>
      </c>
      <c r="O59" s="2539"/>
    </row>
    <row r="60" spans="1:35" ht="12" customHeight="1">
      <c r="A60" s="1809"/>
      <c r="B60" s="1747"/>
      <c r="C60" s="1747"/>
      <c r="D60" s="1747"/>
      <c r="E60" s="1578"/>
      <c r="F60" s="1808"/>
      <c r="G60" s="1808"/>
      <c r="H60" s="1810"/>
      <c r="I60" s="129"/>
      <c r="J60" s="3611"/>
      <c r="K60" s="3609"/>
      <c r="L60" s="2530" t="s">
        <v>1370</v>
      </c>
      <c r="M60" s="2534"/>
      <c r="N60" s="2535" t="e">
        <f ca="1">NUMBERSTRING(INT(N59*10000),2)&amp;"元整"</f>
        <v>#VALUE!</v>
      </c>
      <c r="O60" s="2536"/>
    </row>
    <row r="61" spans="1:35" ht="13.5" thickBot="1">
      <c r="A61" s="3557" t="s">
        <v>1373</v>
      </c>
      <c r="B61" s="3557"/>
      <c r="C61" s="3557"/>
      <c r="D61" s="3557"/>
      <c r="E61" s="3557"/>
      <c r="F61" s="1808"/>
      <c r="G61" s="1808"/>
      <c r="H61" s="1810"/>
      <c r="I61" s="129"/>
      <c r="J61" s="2523">
        <f>J59+1</f>
        <v>7</v>
      </c>
      <c r="K61" s="3609" t="s">
        <v>1374</v>
      </c>
      <c r="L61" s="3609"/>
      <c r="M61" s="2540"/>
      <c r="N61" s="2541" t="e">
        <f ca="1">ROUND(N59*10000/'数据-汇总表'!E3,0)</f>
        <v>#VALUE!</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f ca="1">ROUND((C64+C65)/(1+'数据-取费表'!C42),0)</f>
        <v>3234</v>
      </c>
      <c r="D63" s="167"/>
      <c r="E63" s="168"/>
      <c r="F63" s="1808"/>
      <c r="G63" s="1808"/>
      <c r="H63" s="1810"/>
      <c r="I63" s="129"/>
      <c r="J63" s="363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3396</v>
      </c>
      <c r="D64" s="170" t="s">
        <v>26</v>
      </c>
      <c r="E64" s="172"/>
      <c r="F64" s="1808"/>
      <c r="G64" s="1808"/>
      <c r="H64" s="1810"/>
      <c r="I64" s="129"/>
      <c r="J64" s="363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t="e">
        <f>M49*0.5%</f>
        <v>#VALUE!</v>
      </c>
      <c r="M66" s="302" t="e">
        <f>IF(L66&gt;0.5,0.5,ROUND(L66,0))</f>
        <v>#VALUE!</v>
      </c>
      <c r="N66" s="2544" t="s">
        <v>1388</v>
      </c>
      <c r="Z66" s="1752"/>
      <c r="AI66" s="1753"/>
    </row>
    <row r="67" spans="1:35" ht="14.25" customHeight="1">
      <c r="A67" s="173" t="s">
        <v>328</v>
      </c>
      <c r="B67" s="174" t="s">
        <v>1389</v>
      </c>
      <c r="C67" s="2568">
        <f ca="1">C63-C66</f>
        <v>3234</v>
      </c>
      <c r="D67" s="170" t="s">
        <v>26</v>
      </c>
      <c r="E67" s="172"/>
      <c r="F67" s="1808"/>
      <c r="G67" s="1808"/>
      <c r="H67" s="1810"/>
      <c r="I67" s="129"/>
      <c r="J67" s="363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181</v>
      </c>
      <c r="D68" s="2570">
        <f>'数据-取费表'!B41</f>
        <v>5.6000000000000001E-2</v>
      </c>
      <c r="E68" s="178"/>
      <c r="F68" s="1808"/>
      <c r="G68" s="1808"/>
      <c r="H68" s="1810"/>
      <c r="I68" s="129"/>
      <c r="J68" s="363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19</v>
      </c>
      <c r="D78" s="2577">
        <f>'数据-取费表'!B43</f>
        <v>6.000000000000001E-3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169.21052631578948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19</v>
      </c>
      <c r="D93" s="2577">
        <f>'数据-取费表'!B43</f>
        <v>6.000000000000001E-3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169.21052631578948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成本法 (元)</v>
      </c>
      <c r="D101" s="2586" t="str">
        <f>D4</f>
        <v>收益法 (元)</v>
      </c>
      <c r="E101" s="3631" t="s">
        <v>1431</v>
      </c>
      <c r="F101" s="3588"/>
      <c r="G101" s="1827" t="s">
        <v>1432</v>
      </c>
      <c r="H101" s="2595">
        <f ca="1">H118</f>
        <v>3396</v>
      </c>
      <c r="I101" s="129"/>
    </row>
    <row r="102" spans="1:35" ht="18.75" customHeight="1">
      <c r="A102" s="3590" t="s">
        <v>1433</v>
      </c>
      <c r="B102" s="2584" t="s">
        <v>1432</v>
      </c>
      <c r="C102" s="2585">
        <f ca="1">IF(D32="楼面单价",ROUND(C19,0),C19)</f>
        <v>4893</v>
      </c>
      <c r="D102" s="2586">
        <f ca="1">IF(D32="楼面单价",ROUND(D19,0),D19)</f>
        <v>2754</v>
      </c>
      <c r="E102" s="3631"/>
      <c r="F102" s="3588"/>
      <c r="G102" s="1827" t="s">
        <v>1434</v>
      </c>
      <c r="H102" s="2555">
        <f ca="1">I118</f>
        <v>22850</v>
      </c>
      <c r="I102" s="129"/>
    </row>
    <row r="103" spans="1:35" ht="42.75" customHeight="1">
      <c r="A103" s="3590"/>
      <c r="B103" s="2584" t="s">
        <v>1434</v>
      </c>
      <c r="C103" s="2587">
        <f ca="1">C20</f>
        <v>32926</v>
      </c>
      <c r="D103" s="2588">
        <f ca="1">D20</f>
        <v>18531</v>
      </c>
      <c r="E103" s="3625" t="s">
        <v>1435</v>
      </c>
      <c r="F103" s="3626"/>
      <c r="G103" s="1828" t="s">
        <v>1436</v>
      </c>
      <c r="H103" s="2595">
        <f>IF(D36="正常操作",H104+H105+H106,H105+H106)</f>
        <v>0</v>
      </c>
      <c r="I103" s="129"/>
    </row>
    <row r="104" spans="1:35" ht="18.75" customHeight="1">
      <c r="A104" s="3590" t="s">
        <v>1437</v>
      </c>
      <c r="B104" s="2589" t="s">
        <v>1432</v>
      </c>
      <c r="C104" s="2590">
        <f ca="1">H118</f>
        <v>3396</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22850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3396</v>
      </c>
      <c r="I107" s="129"/>
    </row>
    <row r="108" spans="1:35" ht="18.75" customHeight="1">
      <c r="A108" s="129"/>
      <c r="B108" s="129"/>
      <c r="C108" s="129"/>
      <c r="D108" s="129"/>
      <c r="E108" s="3587"/>
      <c r="F108" s="3588"/>
      <c r="G108" s="1827" t="s">
        <v>1434</v>
      </c>
      <c r="H108" s="2555">
        <f ca="1">IF(H107=H101,H102,ROUND(H107*10000/'数据-汇总表'!E3,0))</f>
        <v>22850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1486.1799999999998</v>
      </c>
      <c r="C118" s="2329">
        <f>M19</f>
        <v>1015.54</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3396</v>
      </c>
      <c r="I118" s="2329">
        <f ca="1">ROUND(IF(D32="楼面单价",C32,H118*10000/B118),0)</f>
        <v>22850</v>
      </c>
    </row>
    <row r="119" spans="1:27" ht="18.75" customHeight="1">
      <c r="A119" s="3558" t="s">
        <v>1452</v>
      </c>
      <c r="B119" s="3558"/>
      <c r="C119" s="3558"/>
      <c r="D119" s="3598" t="str">
        <f>NUMBERSTRING(INT(D118*10000),2)&amp;"元整"</f>
        <v>零元整</v>
      </c>
      <c r="E119" s="3600"/>
      <c r="F119" s="3598" t="str">
        <f>NUMBERSTRING(INT(F118*10000),2)&amp;"元整"</f>
        <v>零元整</v>
      </c>
      <c r="G119" s="3600"/>
      <c r="H119" s="3598" t="str">
        <f ca="1">NUMBERSTRING(INT(H118*10000),2)&amp;"元整"</f>
        <v>叁仟叁佰玖拾陆万元整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3396</v>
      </c>
      <c r="E122" s="3623"/>
      <c r="F122" s="3623"/>
      <c r="G122" s="3623"/>
      <c r="H122" s="3623"/>
      <c r="I122" s="3624"/>
      <c r="AA122" s="725"/>
    </row>
    <row r="123" spans="1:27" ht="18.75" customHeight="1">
      <c r="A123" s="3558" t="s">
        <v>1452</v>
      </c>
      <c r="B123" s="3558"/>
      <c r="C123" s="3558"/>
      <c r="D123" s="3598" t="str">
        <f ca="1">NUMBERSTRING(INT(D122*10000),2)&amp;"元整"</f>
        <v>叁仟叁佰玖拾陆万元整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4894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32930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3327</v>
      </c>
      <c r="D5" s="211" t="s">
        <v>1469</v>
      </c>
      <c r="E5" s="212" t="s">
        <v>1470</v>
      </c>
      <c r="F5" s="212" t="s">
        <v>1471</v>
      </c>
      <c r="G5" s="213"/>
    </row>
    <row r="6" spans="1:9" s="214" customFormat="1" ht="13.5" customHeight="1">
      <c r="A6" s="778" t="s">
        <v>1472</v>
      </c>
      <c r="B6" s="215" t="s">
        <v>1473</v>
      </c>
      <c r="C6" s="216">
        <f>基准地价修正!E33+基准地价修正!E40</f>
        <v>3199</v>
      </c>
      <c r="D6" s="217"/>
      <c r="E6" s="218"/>
      <c r="F6" s="218"/>
      <c r="G6" s="219"/>
    </row>
    <row r="7" spans="1:9" s="214" customFormat="1" ht="13.5" customHeight="1">
      <c r="A7" s="778" t="s">
        <v>1474</v>
      </c>
      <c r="B7" s="215" t="s">
        <v>1475</v>
      </c>
      <c r="C7" s="220">
        <f>ROUND(C6*F7,0)</f>
        <v>98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v>
      </c>
      <c r="D8" s="222"/>
      <c r="E8" s="220"/>
      <c r="F8" s="221"/>
      <c r="G8" s="1856" t="s">
        <v>3393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3394</v>
      </c>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1486.1799999999998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1486.1799999999998</v>
      </c>
      <c r="E19" s="211">
        <f>'数据-取费表'!B31</f>
        <v>200</v>
      </c>
      <c r="F19" s="231"/>
      <c r="G19" s="1856" t="s">
        <v>3395</v>
      </c>
    </row>
    <row r="20" spans="1:7" s="214" customFormat="1" ht="13.5" customHeight="1">
      <c r="A20" s="255" t="s">
        <v>1493</v>
      </c>
      <c r="B20" s="210" t="s">
        <v>1494</v>
      </c>
      <c r="C20" s="232">
        <f ca="1">ROUND((C5+C19)*F20,0)</f>
        <v>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211</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509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509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416</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v>
      </c>
      <c r="D37" s="217">
        <f ca="1">D19</f>
        <v>1486.1799999999998</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5.9999999999999995E-4</v>
      </c>
      <c r="D44" s="238"/>
      <c r="E44" s="238"/>
      <c r="F44" s="239"/>
      <c r="G44" s="3640"/>
    </row>
    <row r="45" spans="1:7" s="214" customFormat="1" ht="13.5" customHeight="1">
      <c r="A45" s="255" t="s">
        <v>1547</v>
      </c>
      <c r="B45" s="244" t="s">
        <v>1513</v>
      </c>
      <c r="C45" s="245">
        <f ca="1">C46</f>
        <v>72</v>
      </c>
      <c r="D45" s="235">
        <f ca="1">C47</f>
        <v>3.0000000000000001E-3</v>
      </c>
      <c r="E45" s="236" t="s">
        <v>1539</v>
      </c>
      <c r="F45" s="246">
        <f ca="1">F27</f>
        <v>0.15</v>
      </c>
      <c r="G45" s="247" t="s">
        <v>1548</v>
      </c>
    </row>
    <row r="46" spans="1:7" s="214" customFormat="1" ht="13.5" customHeight="1">
      <c r="A46" s="780" t="s">
        <v>346</v>
      </c>
      <c r="B46" s="248" t="s">
        <v>1549</v>
      </c>
      <c r="C46" s="249">
        <f ca="1">ROUND((C33+C39)*F27,0)</f>
        <v>72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616</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437</v>
      </c>
      <c r="D51" s="232"/>
      <c r="E51" s="232"/>
      <c r="F51" s="264"/>
      <c r="G51" s="234" t="s">
        <v>1560</v>
      </c>
    </row>
    <row r="52" spans="1:7" s="208" customFormat="1" ht="16.5" thickBot="1">
      <c r="A52" s="265" t="s">
        <v>1561</v>
      </c>
      <c r="B52" s="266"/>
      <c r="C52" s="267">
        <f ca="1">C31+C51</f>
        <v>4894</v>
      </c>
      <c r="D52" s="266"/>
      <c r="E52" s="266"/>
      <c r="F52" s="266"/>
      <c r="G52" s="268"/>
    </row>
    <row r="55" spans="1:7" ht="15">
      <c r="B55" s="270" t="s">
        <v>1562</v>
      </c>
      <c r="C55" s="271"/>
    </row>
    <row r="56" spans="1:7">
      <c r="B56" s="273" t="s">
        <v>802</v>
      </c>
      <c r="C56" s="275">
        <f ca="1">1-C57</f>
        <v>0.91100000000000003</v>
      </c>
    </row>
    <row r="57" spans="1:7">
      <c r="B57" s="273" t="s">
        <v>803</v>
      </c>
      <c r="C57" s="274">
        <f ca="1">ROUND(C51/C52,3)</f>
        <v>8.8999999999999996E-2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46" sqref="C4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4893.4066000000003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32926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33260131.019999996</v>
      </c>
      <c r="D5" s="211" t="s">
        <v>1469</v>
      </c>
      <c r="E5" s="212" t="s">
        <v>1470</v>
      </c>
      <c r="F5" s="212" t="s">
        <v>1471</v>
      </c>
      <c r="G5" s="213"/>
    </row>
    <row r="6" spans="1:8" s="214" customFormat="1" ht="13.5" customHeight="1">
      <c r="A6" s="778" t="s">
        <v>1472</v>
      </c>
      <c r="B6" s="215" t="s">
        <v>1473</v>
      </c>
      <c r="C6" s="216">
        <f>基准地价修正!D40*基准地价修正!C40+基准地价修正!D33*基准地价修正!C33</f>
        <v>31987283.019999996</v>
      </c>
      <c r="D6" s="217"/>
      <c r="E6" s="218"/>
      <c r="F6" s="218"/>
      <c r="G6" s="219"/>
    </row>
    <row r="7" spans="1:8" s="214" customFormat="1" ht="13.5" customHeight="1">
      <c r="A7" s="778" t="s">
        <v>1474</v>
      </c>
      <c r="B7" s="215" t="s">
        <v>1475</v>
      </c>
      <c r="C7" s="220">
        <f>ROUND(C6*F7,0)</f>
        <v>975612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297236</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297236</v>
      </c>
      <c r="D10" s="845">
        <f ca="1">IF(B1="",'数据-汇总表'!E6,IF(INDIRECT("'数据-取费表'!c"&amp;$G$1)="住宅",INDIRECT("'数据-取费表'!s"&amp;$G$1),INDIRECT("'数据-取费表'!k"&amp;$G$1)+INDIRECT("'数据-取费表'!s"&amp;$G$1)))</f>
        <v>1486.1799999999998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1486.1799999999998</v>
      </c>
      <c r="E19" s="211">
        <f>'数据-取费表'!B31</f>
        <v>200</v>
      </c>
      <c r="F19" s="231"/>
      <c r="G19" s="1856" t="s">
        <v>3395</v>
      </c>
    </row>
    <row r="20" spans="1:7" s="214" customFormat="1" ht="13.5" customHeight="1">
      <c r="A20" s="255" t="s">
        <v>1574</v>
      </c>
      <c r="B20" s="210" t="s">
        <v>1575</v>
      </c>
      <c r="C20" s="232">
        <f ca="1">ROUND((C5+C19)*F20,0)</f>
        <v>665203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2112377</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2091778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20599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5088800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5088800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44552606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4729025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4161304</v>
      </c>
      <c r="D34" s="217"/>
      <c r="E34" s="220"/>
      <c r="F34" s="257"/>
      <c r="G34" s="219"/>
    </row>
    <row r="35" spans="1:7" ht="13.5" customHeight="1">
      <c r="A35" s="780" t="s">
        <v>351</v>
      </c>
      <c r="B35" s="215" t="s">
        <v>1527</v>
      </c>
      <c r="C35" s="220">
        <f ca="1">ROUND(C34*F35,0)</f>
        <v>208065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297236</v>
      </c>
      <c r="D37" s="217">
        <f ca="1">D19</f>
        <v>1486.1799999999998</v>
      </c>
      <c r="E37" s="249">
        <f>'数据-取费表'!B35</f>
        <v>200</v>
      </c>
      <c r="F37" s="259"/>
      <c r="G37" s="261"/>
    </row>
    <row r="38" spans="1:7" ht="13.5" customHeight="1">
      <c r="A38" s="780" t="s">
        <v>354</v>
      </c>
      <c r="B38" s="215" t="s">
        <v>1533</v>
      </c>
      <c r="C38" s="220">
        <f ca="1">ROUND(C34*F38,0)</f>
        <v>62420</v>
      </c>
      <c r="D38" s="220"/>
      <c r="E38" s="220"/>
      <c r="F38" s="259">
        <f>'数据-取费表'!B36</f>
        <v>1.4999999999999999E-2</v>
      </c>
      <c r="G38" s="219" t="s">
        <v>1528</v>
      </c>
    </row>
    <row r="39" spans="1:7" s="214" customFormat="1" ht="13.5" customHeight="1">
      <c r="A39" s="255" t="s">
        <v>1534</v>
      </c>
      <c r="B39" s="210" t="s">
        <v>1535</v>
      </c>
      <c r="C39" s="232">
        <f ca="1">ROUND(C33*F20,0)</f>
        <v>94581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149369</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146440</v>
      </c>
      <c r="D42" s="238"/>
      <c r="E42" s="238"/>
      <c r="F42" s="239"/>
      <c r="G42" s="3638" t="s">
        <v>1591</v>
      </c>
    </row>
    <row r="43" spans="1:7" ht="13.5" customHeight="1">
      <c r="A43" s="780" t="s">
        <v>347</v>
      </c>
      <c r="B43" s="215" t="s">
        <v>1545</v>
      </c>
      <c r="C43" s="238">
        <f ca="1">ROUND(IF('数据-取费表'!B22&lt;=1,C39*F22*'数据-取费表'!B20/2,C39*(POWER((1+F22),'数据-取费表'!B20/2)-1)),0)</f>
        <v>2929</v>
      </c>
      <c r="D43" s="238"/>
      <c r="E43" s="238"/>
      <c r="F43" s="239"/>
      <c r="G43" s="3639"/>
    </row>
    <row r="44" spans="1:7" ht="13.5" customHeight="1">
      <c r="A44" s="780" t="s">
        <v>348</v>
      </c>
      <c r="B44" s="215" t="s">
        <v>1546</v>
      </c>
      <c r="C44" s="238">
        <f ca="1">ROUND(IF('数据-取费表'!B22&lt;=1,C40*F22*'数据-取费表'!B20/2,C40*(POWER((1+F22),'数据-取费表'!B20/2)-1)),4)</f>
        <v>5.9999999999999995E-4</v>
      </c>
      <c r="D44" s="238"/>
      <c r="E44" s="238"/>
      <c r="F44" s="239"/>
      <c r="G44" s="3640"/>
    </row>
    <row r="45" spans="1:7" s="214" customFormat="1" ht="13.5" customHeight="1">
      <c r="A45" s="255" t="s">
        <v>1547</v>
      </c>
      <c r="B45" s="244" t="s">
        <v>1513</v>
      </c>
      <c r="C45" s="245">
        <f ca="1">C46</f>
        <v>723541</v>
      </c>
      <c r="D45" s="235">
        <f ca="1">C47</f>
        <v>3.0000000000000001E-3</v>
      </c>
      <c r="E45" s="236" t="s">
        <v>1539</v>
      </c>
      <c r="F45" s="246">
        <f ca="1">F27</f>
        <v>0.15</v>
      </c>
      <c r="G45" s="247" t="s">
        <v>1548</v>
      </c>
    </row>
    <row r="46" spans="1:7" s="214" customFormat="1" ht="13.5" customHeight="1">
      <c r="A46" s="780" t="s">
        <v>346</v>
      </c>
      <c r="B46" s="248" t="s">
        <v>1549</v>
      </c>
      <c r="C46" s="249">
        <f ca="1">ROUND((C33+C39)*F27,0)</f>
        <v>723541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6171071</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4381460</v>
      </c>
      <c r="D51" s="232"/>
      <c r="E51" s="232"/>
      <c r="F51" s="264"/>
      <c r="G51" s="234" t="s">
        <v>1560</v>
      </c>
    </row>
    <row r="52" spans="1:7" s="208" customFormat="1" ht="16.5" thickBot="1">
      <c r="A52" s="265" t="s">
        <v>1561</v>
      </c>
      <c r="B52" s="266"/>
      <c r="C52" s="267">
        <f ca="1">C31+C51</f>
        <v>48934066</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1486.1799999999998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1486.1799999999998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1486.1799999999998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195</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195</v>
      </c>
      <c r="D6" s="155" t="s">
        <v>2109</v>
      </c>
      <c r="E6" s="302" t="s">
        <v>696</v>
      </c>
      <c r="F6" s="303">
        <f ca="1">INDIRECT("'数据-取费表'!u"&amp;$G$1)</f>
        <v>4</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f>128000/10000</f>
        <v>12.8</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437</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416</v>
      </c>
      <c r="D14" s="1345" t="s">
        <v>708</v>
      </c>
      <c r="E14" s="1342"/>
      <c r="F14" s="319"/>
      <c r="G14" s="1384"/>
      <c r="H14" s="982" t="s">
        <v>398</v>
      </c>
      <c r="I14" s="302" t="s">
        <v>709</v>
      </c>
      <c r="J14" s="21">
        <f ca="1">C29</f>
        <v>616</v>
      </c>
      <c r="K14" s="12"/>
      <c r="L14" s="807"/>
      <c r="M14" s="808"/>
    </row>
    <row r="15" spans="1:37" s="1397" customFormat="1" ht="18" customHeight="1" thickBot="1">
      <c r="A15" s="982" t="s">
        <v>399</v>
      </c>
      <c r="B15" s="302" t="s">
        <v>710</v>
      </c>
      <c r="C15" s="21">
        <f ca="1">ROUND(C14*F15,0)</f>
        <v>21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11</v>
      </c>
      <c r="K16" s="1087" t="s">
        <v>715</v>
      </c>
      <c r="L16" s="1088"/>
      <c r="M16" s="1072"/>
    </row>
    <row r="17" spans="1:37" s="1397" customFormat="1" ht="18" customHeight="1">
      <c r="A17" s="982" t="s">
        <v>681</v>
      </c>
      <c r="B17" s="302" t="s">
        <v>716</v>
      </c>
      <c r="C17" s="21">
        <f ca="1">ROUND(F17*(F43+INDIRECT("'数据-取费表'!S"&amp;$G$1))/10000,0)</f>
        <v>30</v>
      </c>
      <c r="D17" s="302" t="s">
        <v>717</v>
      </c>
      <c r="E17" s="302" t="s">
        <v>718</v>
      </c>
      <c r="F17" s="23">
        <f>'数据-取费表'!B35</f>
        <v>200</v>
      </c>
      <c r="G17" s="1396"/>
      <c r="H17" s="982" t="s">
        <v>398</v>
      </c>
      <c r="I17" s="302" t="s">
        <v>719</v>
      </c>
      <c r="J17" s="2316">
        <f ca="1">ROUND(IF(AND(项目基本情况!B11="自然人",项目基本情况!B10="北京市"),J6*M17/(1+'数据-取费表'!C42),J18+J19+J20),2)</f>
        <v>1.83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473</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0.02</v>
      </c>
      <c r="G20" s="1396"/>
      <c r="H20" s="982" t="s">
        <v>680</v>
      </c>
      <c r="I20" s="155" t="s">
        <v>730</v>
      </c>
      <c r="J20" s="22">
        <f ca="1">ROUND(M20*M21/10000,2)</f>
        <v>1.83</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9.24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v>
      </c>
      <c r="K25" s="1095" t="s">
        <v>753</v>
      </c>
      <c r="L25" s="1096"/>
      <c r="M25" s="1097"/>
    </row>
    <row r="26" spans="1:37">
      <c r="A26" s="982" t="s">
        <v>397</v>
      </c>
      <c r="B26" s="302" t="s">
        <v>754</v>
      </c>
      <c r="C26" s="21">
        <f ca="1">ROUND((C19+C20)*F26,0)</f>
        <v>72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616</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34.520000000000003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10.4</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22.29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1.83</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ROUND(C29*F36,2)</f>
        <v>9.24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0.66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18517</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-2921</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2752</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616</v>
      </c>
      <c r="R49" s="1420" t="s">
        <v>818</v>
      </c>
    </row>
    <row r="50" spans="1:18" s="1384" customFormat="1" ht="13.5" thickBot="1">
      <c r="A50" s="976"/>
      <c r="B50" s="979"/>
      <c r="C50" s="1118"/>
      <c r="D50" s="953"/>
      <c r="E50" s="1056" t="s">
        <v>697</v>
      </c>
      <c r="F50" s="1057">
        <f ca="1">F7</f>
        <v>1486.1799999999998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f ca="1">Q47+Q48</f>
        <v>2752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437</v>
      </c>
      <c r="D56" s="1447"/>
      <c r="E56" s="1448"/>
      <c r="F56" s="1440"/>
      <c r="I56" s="1449" t="s">
        <v>842</v>
      </c>
      <c r="J56" s="1450"/>
      <c r="K56" s="1421" t="s">
        <v>843</v>
      </c>
      <c r="L56" s="1424">
        <f ca="1">IF(L48&lt;J51,"——",L48-J53)</f>
        <v>32.9</v>
      </c>
      <c r="O56" s="1418" t="s">
        <v>403</v>
      </c>
      <c r="P56" s="1419" t="s">
        <v>817</v>
      </c>
      <c r="Q56" s="1420">
        <f ca="1">C40+J29</f>
        <v>2752</v>
      </c>
      <c r="R56" s="1420" t="s">
        <v>818</v>
      </c>
    </row>
    <row r="57" spans="1:18" s="1384" customFormat="1" ht="24.75" thickBot="1">
      <c r="A57" s="1451"/>
      <c r="B57" s="950" t="s">
        <v>767</v>
      </c>
      <c r="C57" s="238">
        <f ca="1">C29</f>
        <v>616</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1.83</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9.24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0.66</v>
      </c>
      <c r="D65" s="964" t="s">
        <v>743</v>
      </c>
      <c r="E65" s="950" t="s">
        <v>744</v>
      </c>
      <c r="F65" s="330">
        <f t="shared" ca="1" si="0"/>
        <v>1.5E-3</v>
      </c>
      <c r="I65" s="1462" t="s">
        <v>867</v>
      </c>
      <c r="J65" s="1463">
        <v>40</v>
      </c>
      <c r="K65" s="1463">
        <v>30</v>
      </c>
      <c r="L65" s="1463">
        <v>50</v>
      </c>
      <c r="M65" s="1465">
        <v>0.02</v>
      </c>
      <c r="O65" s="1418" t="s">
        <v>403</v>
      </c>
      <c r="P65" s="1419" t="s">
        <v>868</v>
      </c>
      <c r="Q65" s="1420">
        <f ca="1">C40+J29</f>
        <v>2752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-169</v>
      </c>
      <c r="D68" s="965" t="s">
        <v>758</v>
      </c>
      <c r="E68" s="950" t="s">
        <v>759</v>
      </c>
      <c r="F68" s="312">
        <f ca="1">F40</f>
        <v>5.5E-2</v>
      </c>
      <c r="O68" s="1428" t="s">
        <v>406</v>
      </c>
      <c r="P68" s="1467" t="s">
        <v>871</v>
      </c>
      <c r="Q68" s="1420">
        <f ca="1">ROUND(Q69-Q70*Q71,0)</f>
        <v>116</v>
      </c>
      <c r="R68" s="1420" t="s">
        <v>414</v>
      </c>
    </row>
    <row r="69" spans="1:18" s="1384" customFormat="1" ht="13.5" thickBot="1">
      <c r="A69" s="951"/>
      <c r="B69" s="952"/>
      <c r="C69" s="306"/>
      <c r="D69" s="970" t="s">
        <v>762</v>
      </c>
      <c r="E69" s="950" t="s">
        <v>763</v>
      </c>
      <c r="F69" s="333">
        <f ca="1">F41</f>
        <v>28</v>
      </c>
      <c r="O69" s="1428" t="s">
        <v>411</v>
      </c>
      <c r="P69" s="1467" t="s">
        <v>872</v>
      </c>
      <c r="Q69" s="1420">
        <f ca="1">C39</f>
        <v>149</v>
      </c>
      <c r="R69" s="1420" t="s">
        <v>818</v>
      </c>
    </row>
    <row r="70" spans="1:18" s="1384" customFormat="1" ht="13.5" thickBot="1">
      <c r="A70" s="954"/>
      <c r="B70" s="955"/>
      <c r="C70" s="310"/>
      <c r="D70" s="966"/>
      <c r="E70" s="950" t="s">
        <v>766</v>
      </c>
      <c r="F70" s="1054"/>
      <c r="O70" s="1428" t="s">
        <v>412</v>
      </c>
      <c r="P70" s="1467" t="s">
        <v>873</v>
      </c>
      <c r="Q70" s="1420">
        <f ca="1">C13</f>
        <v>437</v>
      </c>
      <c r="R70" s="1420" t="s">
        <v>818</v>
      </c>
    </row>
    <row r="71" spans="1:18" s="1384" customFormat="1" ht="13.5" thickBot="1">
      <c r="A71" s="971" t="s">
        <v>396</v>
      </c>
      <c r="B71" s="972" t="s">
        <v>776</v>
      </c>
      <c r="C71" s="336">
        <f ca="1">ROUND(C68*10000/F71,0)</f>
        <v>-1137</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0.84099999999999997</v>
      </c>
    </row>
    <row r="83" spans="2:3">
      <c r="B83" s="273" t="s">
        <v>803</v>
      </c>
      <c r="C83" s="274">
        <f ca="1">ROUND(C13/C40,3)</f>
        <v>0.159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E15" sqref="E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2754.029</v>
      </c>
      <c r="C2" s="1387" t="s">
        <v>879</v>
      </c>
      <c r="D2" s="1471">
        <f ca="1">C40+J29+L46</f>
        <v>27540290</v>
      </c>
      <c r="E2" s="1388" t="s">
        <v>880</v>
      </c>
      <c r="F2" s="1389"/>
      <c r="G2" s="2706"/>
      <c r="H2" s="2695"/>
      <c r="I2" s="2695"/>
      <c r="J2" s="2695"/>
      <c r="K2" s="2696"/>
      <c r="L2" s="2695"/>
      <c r="M2" s="2695"/>
    </row>
    <row r="3" spans="1:37" ht="18" customHeight="1" thickBot="1">
      <c r="A3" s="1390" t="s">
        <v>881</v>
      </c>
      <c r="B3" s="1391">
        <f ca="1">IF(ISERROR(D2/F43),0,ROUND(D2/F43,0))</f>
        <v>18531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1955282</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1952841</v>
      </c>
      <c r="D6" s="155" t="s">
        <v>2106</v>
      </c>
      <c r="E6" s="302" t="s">
        <v>696</v>
      </c>
      <c r="F6" s="303">
        <f ca="1">INDIRECT("'数据-取费表'!u"&amp;$G$1)</f>
        <v>4</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1486.1799999999998</v>
      </c>
      <c r="G7" s="1384"/>
      <c r="H7" s="304"/>
      <c r="I7" s="3644"/>
      <c r="J7" s="306"/>
      <c r="K7" s="307"/>
      <c r="L7" s="302" t="s">
        <v>697</v>
      </c>
      <c r="M7" s="303">
        <f ca="1">F7</f>
        <v>1486.1799999999998</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2441</v>
      </c>
      <c r="D10" s="1366" t="s">
        <v>2116</v>
      </c>
      <c r="E10" s="313" t="s">
        <v>701</v>
      </c>
      <c r="F10" s="1116" t="s">
        <v>3422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4381460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4161304</v>
      </c>
      <c r="D14" s="1345" t="s">
        <v>708</v>
      </c>
      <c r="E14" s="1342"/>
      <c r="F14" s="319"/>
      <c r="G14" s="1384"/>
      <c r="H14" s="982" t="s">
        <v>398</v>
      </c>
      <c r="I14" s="302" t="s">
        <v>709</v>
      </c>
      <c r="J14" s="21">
        <f ca="1">C29</f>
        <v>6171071</v>
      </c>
      <c r="K14" s="12"/>
      <c r="L14" s="807"/>
      <c r="M14" s="808"/>
    </row>
    <row r="15" spans="1:37" s="1397" customFormat="1" ht="18" customHeight="1" thickBot="1">
      <c r="A15" s="982" t="s">
        <v>399</v>
      </c>
      <c r="B15" s="302" t="s">
        <v>710</v>
      </c>
      <c r="C15" s="21">
        <f ca="1">ROUND(C14*F15,0)</f>
        <v>208065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110846</v>
      </c>
      <c r="K16" s="1087" t="s">
        <v>715</v>
      </c>
      <c r="L16" s="1088"/>
      <c r="M16" s="1072"/>
    </row>
    <row r="17" spans="1:37" s="1397" customFormat="1" ht="18" customHeight="1">
      <c r="A17" s="982" t="s">
        <v>681</v>
      </c>
      <c r="B17" s="302" t="s">
        <v>716</v>
      </c>
      <c r="C17" s="21">
        <f ca="1">ROUND(F17*(F43+INDIRECT("'数据-取费表'!S"&amp;$G$1)),0)</f>
        <v>297236</v>
      </c>
      <c r="D17" s="302" t="s">
        <v>717</v>
      </c>
      <c r="E17" s="302" t="s">
        <v>718</v>
      </c>
      <c r="F17" s="23">
        <f>'数据-取费表'!B35</f>
        <v>200</v>
      </c>
      <c r="G17" s="1396"/>
      <c r="H17" s="982" t="s">
        <v>398</v>
      </c>
      <c r="I17" s="302" t="s">
        <v>719</v>
      </c>
      <c r="J17" s="2316">
        <f ca="1">ROUND(IF(AND(项目基本情况!B11="自然人",项目基本情况!B10="北京市"),J6*M17/(1+'数据-取费表'!C42),J18+J19+J20),0)</f>
        <v>18280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62420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4729025</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94581</v>
      </c>
      <c r="D20" s="323" t="s">
        <v>729</v>
      </c>
      <c r="E20" s="302" t="s">
        <v>712</v>
      </c>
      <c r="F20" s="322">
        <f>'数据-取费表'!B37</f>
        <v>0.02</v>
      </c>
      <c r="G20" s="1396"/>
      <c r="H20" s="982" t="s">
        <v>680</v>
      </c>
      <c r="I20" s="155" t="s">
        <v>730</v>
      </c>
      <c r="J20" s="22">
        <f ca="1">ROUND(M20*M21,0)</f>
        <v>18280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1015.54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92566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149369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-110846</v>
      </c>
      <c r="K25" s="1095" t="s">
        <v>753</v>
      </c>
      <c r="L25" s="1096"/>
      <c r="M25" s="1097"/>
    </row>
    <row r="26" spans="1:37" ht="18" customHeight="1">
      <c r="A26" s="982" t="s">
        <v>397</v>
      </c>
      <c r="B26" s="302" t="s">
        <v>754</v>
      </c>
      <c r="C26" s="21">
        <f ca="1">ROUND((C19+C20)*F26,0)</f>
        <v>723541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6171071</v>
      </c>
      <c r="D29" s="1092"/>
      <c r="E29" s="1090"/>
      <c r="F29" s="1093"/>
      <c r="G29" s="1396"/>
      <c r="H29" s="334" t="s">
        <v>396</v>
      </c>
      <c r="I29" s="335" t="s">
        <v>768</v>
      </c>
      <c r="J29" s="336">
        <f ca="1">ROUND(J26/(1+F40)^F41,0)</f>
        <v>0</v>
      </c>
      <c r="K29" s="337" t="s">
        <v>769</v>
      </c>
      <c r="L29" s="338"/>
      <c r="M29" s="339">
        <f ca="1">INDIRECT("'数据-取费表'!k"&amp;$G$1)</f>
        <v>1486.1799999999998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464305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345614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104152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223182</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18280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1015.54</v>
      </c>
      <c r="G35" s="1384"/>
      <c r="H35" s="2697"/>
      <c r="I35" s="1398"/>
      <c r="J35" s="1399"/>
      <c r="K35" s="2701"/>
      <c r="L35" s="2700"/>
      <c r="M35" s="2700"/>
    </row>
    <row r="36" spans="1:18" ht="18" customHeight="1">
      <c r="A36" s="1102" t="s">
        <v>402</v>
      </c>
      <c r="B36" s="302" t="s">
        <v>738</v>
      </c>
      <c r="C36" s="21">
        <f ca="1">ROUND(C29*F36,0)</f>
        <v>92566</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6572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19553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1490977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27540290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18531</v>
      </c>
      <c r="D43" s="337" t="s">
        <v>777</v>
      </c>
      <c r="E43" s="338" t="s">
        <v>778</v>
      </c>
      <c r="F43" s="339">
        <f ca="1">INDIRECT("'数据-取费表'!k"&amp;$G$1)</f>
        <v>1486.1799999999998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-2919.8398999999999</v>
      </c>
      <c r="D45" s="3432" t="s">
        <v>3360</v>
      </c>
      <c r="E45" s="1400"/>
      <c r="F45" s="1400"/>
      <c r="O45" s="1403" t="s">
        <v>808</v>
      </c>
      <c r="P45" s="1461"/>
      <c r="Q45" s="1461"/>
      <c r="R45" s="1461"/>
    </row>
    <row r="46" spans="1:18" s="1384" customFormat="1" ht="13.5" thickBot="1">
      <c r="A46" s="1404" t="s">
        <v>809</v>
      </c>
      <c r="C46" s="1405">
        <f ca="1">ROUND(C45,0)</f>
        <v>-2920</v>
      </c>
      <c r="D46" s="1406" t="str">
        <f>C2</f>
        <v>万元</v>
      </c>
      <c r="I46" s="1407" t="s">
        <v>810</v>
      </c>
      <c r="J46" s="1408"/>
      <c r="K46" s="1409"/>
      <c r="L46" s="1410">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27540290</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32.9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6171071</v>
      </c>
      <c r="R49" s="1420" t="s">
        <v>818</v>
      </c>
    </row>
    <row r="50" spans="1:18" s="1384" customFormat="1" ht="13.5" thickBot="1">
      <c r="A50" s="976"/>
      <c r="B50" s="979"/>
      <c r="C50" s="980"/>
      <c r="D50" s="953"/>
      <c r="E50" s="1056" t="s">
        <v>697</v>
      </c>
      <c r="F50" s="1057">
        <f ca="1">F7</f>
        <v>1486.1799999999998</v>
      </c>
      <c r="H50" s="723"/>
      <c r="I50" s="1421" t="s">
        <v>826</v>
      </c>
      <c r="J50" s="1429">
        <f>SUMPRODUCT((I63:I65=J47)*(J62:L62=J48)*(J63:L65))</f>
        <v>50</v>
      </c>
      <c r="K50" s="1423" t="s">
        <v>827</v>
      </c>
      <c r="L50" s="1427">
        <v>0</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17317099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f>'数据-取费表'!H6</f>
        <v>0.05</v>
      </c>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41" t="s">
        <v>837</v>
      </c>
      <c r="L53" s="3642"/>
      <c r="O53" s="1418" t="s">
        <v>409</v>
      </c>
      <c r="P53" s="1419" t="s">
        <v>838</v>
      </c>
      <c r="Q53" s="1420">
        <f ca="1">Q47+Q48</f>
        <v>27540290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4381460</v>
      </c>
      <c r="D56" s="1447"/>
      <c r="E56" s="1448"/>
      <c r="F56" s="1440"/>
      <c r="I56" s="1449" t="s">
        <v>842</v>
      </c>
      <c r="J56" s="1450" t="s">
        <v>3379</v>
      </c>
      <c r="K56" s="1421" t="s">
        <v>843</v>
      </c>
      <c r="L56" s="1424">
        <f ca="1">IF(L48&lt;J51,"——",L48-J51)</f>
        <v>4.8999999999999986</v>
      </c>
      <c r="O56" s="1418" t="s">
        <v>403</v>
      </c>
      <c r="P56" s="1419" t="s">
        <v>817</v>
      </c>
      <c r="Q56" s="1420">
        <f ca="1">C40+J29</f>
        <v>27540290</v>
      </c>
      <c r="R56" s="1420" t="s">
        <v>818</v>
      </c>
    </row>
    <row r="57" spans="1:18" s="1384" customFormat="1" ht="24.75" thickBot="1">
      <c r="A57" s="1451"/>
      <c r="B57" s="950" t="s">
        <v>767</v>
      </c>
      <c r="C57" s="238">
        <f ca="1">C29</f>
        <v>6171071</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117418</v>
      </c>
      <c r="D58" s="960" t="s">
        <v>715</v>
      </c>
      <c r="E58" s="961"/>
      <c r="F58" s="962"/>
      <c r="I58" s="1455" t="s">
        <v>848</v>
      </c>
      <c r="J58" s="1457" t="e">
        <f ca="1">IF(J55&lt;0.4,0.4,J55)</f>
        <v>#VALUE!</v>
      </c>
      <c r="K58" s="1434" t="s">
        <v>895</v>
      </c>
      <c r="L58" s="1424">
        <f ca="1">ROUND(POWER(1+L52,L47-L48)*(POWER(1+L52,L48)-1)/(POWER(1+L52,L47)-1),4)</f>
        <v>0.87549999999999994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18280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0.81610000000000005</v>
      </c>
      <c r="M59" s="1381">
        <f ca="1">ROUND(POWER(1+L52,L47-(J51+'数据-取费表'!B24))*(POWER(1+L52,(J51+'数据-取费表'!B24))-1)/(POWER(1+L52,L47)-1),4)</f>
        <v>0.81610000000000005</v>
      </c>
      <c r="N59" s="1381">
        <f ca="1">ROUND(POWER(1+L52,L47-(J51+'数据-取费表'!B20))*(POWER(1+L52,(J51+'数据-取费表'!B20))-1)/(POWER(1+L52,L47)-1),4)</f>
        <v>0.83579999999999999</v>
      </c>
      <c r="O59" s="1428" t="s">
        <v>406</v>
      </c>
      <c r="P59" s="1419" t="s">
        <v>852</v>
      </c>
      <c r="Q59" s="1431">
        <f>L52</f>
        <v>0.05</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0.87549999999999994</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f ca="1">L59</f>
        <v>0.81610000000000005</v>
      </c>
      <c r="R61" s="1420" t="s">
        <v>857</v>
      </c>
    </row>
    <row r="62" spans="1:18" s="1384" customFormat="1" ht="13.5" thickBot="1">
      <c r="A62" s="982" t="s">
        <v>784</v>
      </c>
      <c r="B62" s="949" t="s">
        <v>785</v>
      </c>
      <c r="C62" s="22">
        <f ca="1">IF(项目基本情况!B11="自然人","——",ROUND(F62*F63,0))</f>
        <v>18280</v>
      </c>
      <c r="D62" s="965" t="s">
        <v>786</v>
      </c>
      <c r="E62" s="950" t="s">
        <v>787</v>
      </c>
      <c r="F62" s="325">
        <f t="shared" si="0"/>
        <v>18</v>
      </c>
      <c r="I62" s="1462" t="s">
        <v>858</v>
      </c>
      <c r="J62" s="1463" t="s">
        <v>859</v>
      </c>
      <c r="K62" s="1463" t="s">
        <v>860</v>
      </c>
      <c r="L62" s="1463" t="s">
        <v>861</v>
      </c>
      <c r="M62" s="1464" t="s">
        <v>862</v>
      </c>
      <c r="O62" s="1418" t="s">
        <v>409</v>
      </c>
      <c r="P62" s="1419" t="s">
        <v>863</v>
      </c>
      <c r="Q62" s="1420">
        <f ca="1">Q56+Q57</f>
        <v>27540290</v>
      </c>
      <c r="R62" s="1420" t="s">
        <v>410</v>
      </c>
    </row>
    <row r="63" spans="1:18" s="1384" customFormat="1" ht="13.5" thickBot="1">
      <c r="A63" s="326"/>
      <c r="B63" s="956"/>
      <c r="C63" s="26"/>
      <c r="D63" s="966"/>
      <c r="E63" s="950" t="s">
        <v>788</v>
      </c>
      <c r="F63" s="303">
        <f t="shared" ca="1" si="0"/>
        <v>1015.54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92566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6572</v>
      </c>
      <c r="D65" s="964" t="s">
        <v>743</v>
      </c>
      <c r="E65" s="950" t="s">
        <v>744</v>
      </c>
      <c r="F65" s="330">
        <f t="shared" ca="1" si="0"/>
        <v>1.5E-3</v>
      </c>
      <c r="I65" s="1462" t="s">
        <v>867</v>
      </c>
      <c r="J65" s="1463">
        <v>40</v>
      </c>
      <c r="K65" s="1463">
        <v>30</v>
      </c>
      <c r="L65" s="1463">
        <v>50</v>
      </c>
      <c r="M65" s="1465">
        <v>0.02</v>
      </c>
      <c r="O65" s="1418" t="s">
        <v>403</v>
      </c>
      <c r="P65" s="1419" t="s">
        <v>868</v>
      </c>
      <c r="Q65" s="1420">
        <f ca="1">C40+J29</f>
        <v>27540290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-117418</v>
      </c>
      <c r="D67" s="963" t="s">
        <v>753</v>
      </c>
      <c r="E67" s="968"/>
      <c r="F67" s="969"/>
      <c r="O67" s="1428" t="s">
        <v>405</v>
      </c>
      <c r="P67" s="1419" t="s">
        <v>850</v>
      </c>
      <c r="Q67" s="1466">
        <f ca="1">L51</f>
        <v>17317099</v>
      </c>
      <c r="R67" s="1420" t="s">
        <v>870</v>
      </c>
    </row>
    <row r="68" spans="1:18" s="1384" customFormat="1" ht="16.5" thickBot="1">
      <c r="A68" s="947" t="s">
        <v>395</v>
      </c>
      <c r="B68" s="948" t="s">
        <v>774</v>
      </c>
      <c r="C68" s="301">
        <f ca="1">ROUND(C67*(1-((1+F70)/(1+F68))^F69)/(F68-F70),0)</f>
        <v>-1658109</v>
      </c>
      <c r="D68" s="965" t="s">
        <v>758</v>
      </c>
      <c r="E68" s="950" t="s">
        <v>759</v>
      </c>
      <c r="F68" s="312">
        <f ca="1">F40</f>
        <v>5.5E-2</v>
      </c>
      <c r="O68" s="1428" t="s">
        <v>406</v>
      </c>
      <c r="P68" s="1467" t="s">
        <v>871</v>
      </c>
      <c r="Q68" s="1420">
        <f ca="1">ROUND(Q69-Q70*Q71,0)</f>
        <v>1162368</v>
      </c>
      <c r="R68" s="1420" t="s">
        <v>414</v>
      </c>
    </row>
    <row r="69" spans="1:18" s="1384" customFormat="1" ht="13.5" thickBot="1">
      <c r="A69" s="951"/>
      <c r="B69" s="952"/>
      <c r="C69" s="306"/>
      <c r="D69" s="970" t="s">
        <v>762</v>
      </c>
      <c r="E69" s="950" t="s">
        <v>763</v>
      </c>
      <c r="F69" s="333">
        <f ca="1">F41</f>
        <v>28</v>
      </c>
      <c r="O69" s="1428" t="s">
        <v>411</v>
      </c>
      <c r="P69" s="1467" t="s">
        <v>872</v>
      </c>
      <c r="Q69" s="1420">
        <f ca="1">C39</f>
        <v>1490977</v>
      </c>
      <c r="R69" s="1420" t="s">
        <v>818</v>
      </c>
    </row>
    <row r="70" spans="1:18" s="1384" customFormat="1" ht="13.5" thickBot="1">
      <c r="A70" s="954"/>
      <c r="B70" s="955"/>
      <c r="C70" s="310"/>
      <c r="D70" s="966"/>
      <c r="E70" s="950" t="s">
        <v>766</v>
      </c>
      <c r="F70" s="1054"/>
      <c r="O70" s="1428" t="s">
        <v>412</v>
      </c>
      <c r="P70" s="1467" t="s">
        <v>873</v>
      </c>
      <c r="Q70" s="1420">
        <f ca="1">C13</f>
        <v>4381460</v>
      </c>
      <c r="R70" s="1420" t="s">
        <v>818</v>
      </c>
    </row>
    <row r="71" spans="1:18" s="1384" customFormat="1" ht="13.5" thickBot="1">
      <c r="A71" s="971" t="s">
        <v>396</v>
      </c>
      <c r="B71" s="972" t="s">
        <v>776</v>
      </c>
      <c r="C71" s="336">
        <f ca="1">ROUND(C68/F71,0)</f>
        <v>-1116</v>
      </c>
      <c r="D71" s="973" t="s">
        <v>777</v>
      </c>
      <c r="E71" s="974" t="s">
        <v>778</v>
      </c>
      <c r="F71" s="339">
        <f ca="1">F43</f>
        <v>1486.1799999999998</v>
      </c>
      <c r="O71" s="1428" t="s">
        <v>413</v>
      </c>
      <c r="P71" s="1467" t="s">
        <v>874</v>
      </c>
      <c r="Q71" s="1431">
        <f ca="1">C76</f>
        <v>7.4999999999999997E-2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0.87549999999999994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0.81610000000000005</v>
      </c>
      <c r="R74" s="1420" t="s">
        <v>857</v>
      </c>
    </row>
    <row r="75" spans="1:18" ht="13.5" thickBot="1">
      <c r="A75" s="1384"/>
      <c r="B75" s="340" t="s">
        <v>795</v>
      </c>
      <c r="C75" s="341">
        <f ca="1">ROUND(C13*C76,0)</f>
        <v>328610</v>
      </c>
      <c r="D75" s="1384"/>
      <c r="E75" s="1384"/>
      <c r="F75" s="1384"/>
      <c r="K75" s="1402"/>
      <c r="L75" s="1384"/>
      <c r="O75" s="1418" t="s">
        <v>409</v>
      </c>
      <c r="P75" s="1419" t="s">
        <v>838</v>
      </c>
      <c r="Q75" s="1420">
        <f ca="1">Q65+Q66</f>
        <v>27540290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0.84099999999999997</v>
      </c>
    </row>
    <row r="83" spans="2:3">
      <c r="B83" s="273" t="s">
        <v>803</v>
      </c>
      <c r="C83" s="274">
        <f ca="1">ROUND(C13/C40,3)</f>
        <v>0.159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2" t="s">
        <v>2320</v>
      </c>
      <c r="K2" s="365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4" t="s">
        <v>2330</v>
      </c>
      <c r="K3" s="365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4" t="s">
        <v>2332</v>
      </c>
      <c r="K4" s="365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60" t="s">
        <v>2336</v>
      </c>
      <c r="B6" s="3661"/>
      <c r="C6" s="3662"/>
      <c r="D6" s="2870"/>
      <c r="E6" s="2871"/>
      <c r="F6" s="2872"/>
      <c r="G6" s="2873"/>
      <c r="H6" s="2848"/>
      <c r="I6" s="2849"/>
      <c r="J6" s="3646">
        <v>1</v>
      </c>
      <c r="K6" s="364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6"/>
      <c r="K7" s="364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3" t="s">
        <v>2350</v>
      </c>
      <c r="C8" s="3664"/>
      <c r="D8" s="2889" t="s">
        <v>2351</v>
      </c>
      <c r="E8" s="2890" t="s">
        <v>2352</v>
      </c>
      <c r="F8" s="2891" t="s">
        <v>2353</v>
      </c>
      <c r="G8" s="2892"/>
      <c r="H8" s="2848"/>
      <c r="I8" s="2849"/>
      <c r="J8" s="3646"/>
      <c r="K8" s="364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3" t="s">
        <v>2356</v>
      </c>
      <c r="C9" s="3664"/>
      <c r="D9" s="2889">
        <f>ROUND(D6*E9,0)</f>
        <v>0</v>
      </c>
      <c r="E9" s="2893"/>
      <c r="F9" s="2894" t="s">
        <v>2357</v>
      </c>
      <c r="G9" s="2873"/>
      <c r="H9" s="2848"/>
      <c r="I9" s="2849"/>
      <c r="J9" s="3646"/>
      <c r="K9" s="3648"/>
      <c r="L9" s="2883" t="s">
        <v>2358</v>
      </c>
      <c r="M9" s="2884"/>
      <c r="N9" s="2860"/>
      <c r="O9" s="2885"/>
      <c r="P9" s="2885"/>
      <c r="Q9" s="2886">
        <v>365</v>
      </c>
      <c r="R9" s="2887">
        <f t="shared" si="0"/>
        <v>0</v>
      </c>
      <c r="S9" s="2841"/>
      <c r="T9" s="2841"/>
      <c r="U9" s="2841"/>
      <c r="V9" s="2849"/>
    </row>
    <row r="10" spans="1:22" s="2853" customFormat="1" ht="13.15" customHeight="1">
      <c r="A10" s="2888">
        <v>2</v>
      </c>
      <c r="B10" s="3663" t="s">
        <v>2359</v>
      </c>
      <c r="C10" s="3664"/>
      <c r="D10" s="2889">
        <f>ROUND(D6*E10,0)</f>
        <v>0</v>
      </c>
      <c r="E10" s="2893"/>
      <c r="F10" s="2894" t="s">
        <v>2360</v>
      </c>
      <c r="G10" s="2873"/>
      <c r="H10" s="2848"/>
      <c r="I10" s="2849"/>
      <c r="J10" s="3646"/>
      <c r="K10" s="3648"/>
      <c r="L10" s="2883" t="s">
        <v>2361</v>
      </c>
      <c r="M10" s="2884"/>
      <c r="N10" s="2860"/>
      <c r="O10" s="2885"/>
      <c r="P10" s="2885"/>
      <c r="Q10" s="2886">
        <v>365</v>
      </c>
      <c r="R10" s="2887">
        <f t="shared" si="0"/>
        <v>0</v>
      </c>
      <c r="S10" s="2841"/>
      <c r="T10" s="2841"/>
      <c r="U10" s="2841"/>
      <c r="V10" s="2849"/>
    </row>
    <row r="11" spans="1:22" s="2853" customFormat="1" ht="13.15" customHeight="1">
      <c r="A11" s="2888">
        <v>3</v>
      </c>
      <c r="B11" s="3663" t="s">
        <v>2362</v>
      </c>
      <c r="C11" s="3664"/>
      <c r="D11" s="2889">
        <f>D12+D14+D15+D16</f>
        <v>0</v>
      </c>
      <c r="E11" s="2895" t="e">
        <f>D11/D6</f>
        <v>#DIV/0!</v>
      </c>
      <c r="F11" s="2891"/>
      <c r="G11" s="2892"/>
      <c r="H11" s="2848"/>
      <c r="I11" s="2849"/>
      <c r="J11" s="3646"/>
      <c r="K11" s="364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46"/>
      <c r="K12" s="364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6"/>
      <c r="K13" s="364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46"/>
      <c r="K14" s="364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46">
        <v>2</v>
      </c>
      <c r="K15" s="364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46"/>
      <c r="K16" s="364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46"/>
      <c r="K17" s="364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6"/>
      <c r="K18" s="364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6"/>
      <c r="K19" s="364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6"/>
      <c r="K21" s="364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6"/>
      <c r="K22" s="364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6"/>
      <c r="K23" s="364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6"/>
      <c r="K24" s="364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2" t="s">
        <v>2320</v>
      </c>
      <c r="K32" s="365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4" t="s">
        <v>2330</v>
      </c>
      <c r="K33" s="365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4" t="s">
        <v>2332</v>
      </c>
      <c r="K34" s="365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6">
        <v>1</v>
      </c>
      <c r="K36" s="364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6"/>
      <c r="K40" s="364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2754.029</v>
      </c>
      <c r="C2" s="1872" t="s">
        <v>1651</v>
      </c>
      <c r="D2" s="1873" t="s">
        <v>1652</v>
      </c>
      <c r="E2" s="2607">
        <f>SUM(E6:E13)</f>
        <v>1486.1799999999998</v>
      </c>
      <c r="F2" s="2707"/>
      <c r="G2" s="1489"/>
      <c r="H2" s="1489"/>
      <c r="I2" s="1489"/>
      <c r="J2" s="1489"/>
      <c r="K2" s="1489"/>
      <c r="L2" s="1489"/>
      <c r="M2" s="1489"/>
      <c r="N2" s="1489"/>
      <c r="O2" s="1489"/>
      <c r="P2" s="1489"/>
      <c r="Q2" s="1489"/>
      <c r="R2" s="1489"/>
      <c r="S2" s="1489"/>
    </row>
    <row r="3" spans="1:22" ht="15.75">
      <c r="A3" s="1870" t="s">
        <v>686</v>
      </c>
      <c r="B3" s="2601">
        <f ca="1">ROUND(B2*10000/E2,0)</f>
        <v>18531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2754.029</v>
      </c>
      <c r="C6" s="1872" t="s">
        <v>1651</v>
      </c>
      <c r="D6" s="2709"/>
      <c r="E6" s="2606">
        <f>IF(OR(A6=0,F6="否"),0,'数据-取费表'!K6+'数据-取费表'!S6)</f>
        <v>1486.1799999999998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1486.1799999999998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1486.1799999999998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15"/>
      <c r="M5" s="2716"/>
      <c r="N5" s="2716"/>
      <c r="O5" s="2716"/>
      <c r="P5" s="3721"/>
      <c r="Q5" s="3692"/>
      <c r="R5" s="3697"/>
      <c r="S5" s="3698"/>
      <c r="T5" s="3697"/>
      <c r="U5" s="3698"/>
      <c r="V5" s="3701"/>
      <c r="W5" s="3701"/>
      <c r="X5" s="1355"/>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722"/>
      <c r="Q6" s="3694"/>
      <c r="R6" s="3697"/>
      <c r="S6" s="3698"/>
      <c r="T6" s="3699"/>
      <c r="U6" s="3700"/>
      <c r="V6" s="3701"/>
      <c r="W6" s="3701"/>
      <c r="X6" s="1355"/>
      <c r="Y6" s="3699"/>
      <c r="Z6" s="3700"/>
      <c r="AA6" s="3684"/>
      <c r="AB6" s="3684"/>
      <c r="AC6" s="3718"/>
    </row>
    <row r="7" spans="1:29" s="108" customFormat="1" ht="15.75" thickBot="1">
      <c r="A7" s="362" t="s">
        <v>1679</v>
      </c>
      <c r="B7" s="363"/>
      <c r="C7" s="364">
        <f>'数据-取费表'!B2</f>
        <v>45007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1486.1799999999998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估价对象为北京市房地产，为所有。根据《国有土地使用证》[]，估价对象（分摊）出让国有建设用地使用权面积为1015.54平方米，建筑面积为1486.18平方米。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估价对象为北京市房地产,属开发建设的，该项目尚在开发建设中。根据《国有土地使用证》[]，估价对象（分摊）出让国有建设用地使用权面积为1015.54平方米，规划建筑面积为1486.18平方米。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70"/>
      <c r="Q10" s="1343" t="str">
        <f t="shared" si="6"/>
        <v>土地使用年限（年）</v>
      </c>
      <c r="R10" s="701" t="s">
        <v>14</v>
      </c>
      <c r="S10" s="702">
        <f t="shared" si="0"/>
        <v>114</v>
      </c>
      <c r="T10" s="701" t="s">
        <v>14</v>
      </c>
      <c r="U10" s="702">
        <f t="shared" si="1"/>
        <v>114</v>
      </c>
      <c r="V10" s="701" t="s">
        <v>14</v>
      </c>
      <c r="W10" s="702">
        <f t="shared" si="2"/>
        <v>114</v>
      </c>
      <c r="X10" s="703"/>
      <c r="Y10" s="3545"/>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831.64</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654.54</v>
      </c>
      <c r="F60" s="886" t="e">
        <f t="shared" si="15"/>
        <v>#DIV/0!</v>
      </c>
      <c r="G60" s="1987" t="s">
        <v>1896</v>
      </c>
      <c r="H60" s="887" t="str">
        <f>项目基本情况!C37</f>
        <v>三级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三级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1486.1799999999998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70"/>
      <c r="Q10" s="1343" t="str">
        <f t="shared" si="6"/>
        <v>土地使用年限（年）</v>
      </c>
      <c r="R10" s="701" t="s">
        <v>14</v>
      </c>
      <c r="S10" s="702">
        <f t="shared" si="0"/>
        <v>114</v>
      </c>
      <c r="T10" s="701" t="s">
        <v>14</v>
      </c>
      <c r="U10" s="702">
        <f t="shared" si="1"/>
        <v>114</v>
      </c>
      <c r="V10" s="701" t="s">
        <v>14</v>
      </c>
      <c r="W10" s="702">
        <f t="shared" si="2"/>
        <v>114</v>
      </c>
      <c r="X10" s="703"/>
      <c r="Y10" s="3545"/>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831.64</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654.54</v>
      </c>
      <c r="F56" s="639" t="e">
        <f t="shared" si="15"/>
        <v>#DIV/0!</v>
      </c>
      <c r="G56" s="1987" t="s">
        <v>1896</v>
      </c>
      <c r="H56" s="887" t="str">
        <f>项目基本情况!C37</f>
        <v>三级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三级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1015.54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3199</v>
      </c>
      <c r="C2" s="2145" t="s">
        <v>2074</v>
      </c>
      <c r="D2" s="2145" t="s">
        <v>2075</v>
      </c>
      <c r="E2" s="2612">
        <f ca="1">SUMIF(E6:E13,"&lt;&gt;#ref!",E6:E13)</f>
        <v>1670.08</v>
      </c>
      <c r="F2" s="2793"/>
      <c r="G2" s="2793"/>
      <c r="H2" s="2793"/>
      <c r="I2" s="2793"/>
      <c r="J2" s="2793"/>
      <c r="K2" s="2793"/>
      <c r="L2" s="2793"/>
      <c r="M2" s="2793"/>
      <c r="N2" s="2793"/>
      <c r="O2" s="2793"/>
      <c r="P2" s="2793"/>
    </row>
    <row r="3" spans="1:16" ht="15.75">
      <c r="A3" s="2145" t="s">
        <v>2076</v>
      </c>
      <c r="B3" s="2602">
        <f ca="1">ROUND(B2*10000/E2,0)</f>
        <v>19155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3199</v>
      </c>
      <c r="C6" s="2145" t="s">
        <v>2074</v>
      </c>
      <c r="D6" s="2793"/>
      <c r="E6" s="2612">
        <f ca="1">SUMIF(INDIRECT("'"&amp;A6&amp;"'"&amp;"!C:C"),"建筑面积",INDIRECT("'"&amp;A6&amp;"'"&amp;"!D:D"))</f>
        <v>1670.08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E33" activeCellId="1" sqref="E40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3199</v>
      </c>
      <c r="C2" s="1999" t="s">
        <v>1935</v>
      </c>
      <c r="D2" s="2000" t="s">
        <v>1936</v>
      </c>
      <c r="E2" s="3422" t="s">
        <v>21</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34397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19155</v>
      </c>
      <c r="C3" s="1999" t="s">
        <v>1941</v>
      </c>
      <c r="D3" s="2000" t="s">
        <v>1942</v>
      </c>
      <c r="E3" s="3420" t="s">
        <v>3385</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23990</v>
      </c>
      <c r="N3" s="866">
        <f>SUMPRODUCT((因素修正幅度!B30:B54=I2)*(因素修正幅度!C3:G3=E2)*(因素修正幅度!C30:G54))</f>
        <v>8.2000000000000003E-2</v>
      </c>
      <c r="O3" s="1119"/>
      <c r="P3" s="1119"/>
      <c r="Q3" s="1119"/>
      <c r="R3" s="1212">
        <v>2</v>
      </c>
      <c r="S3" s="3361">
        <f>ROUND(SUMPRODUCT((B106:B110=R3)*(C105:N105=G2)*(C106:N110)),4)</f>
        <v>1.1838</v>
      </c>
      <c r="T3" s="3361">
        <f t="shared" si="0"/>
        <v>27111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22913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24194</v>
      </c>
      <c r="D5" s="1339">
        <f>ROUND(C6*C17+C20,0)</f>
        <v>23954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20209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23990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19421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1.01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3261</v>
      </c>
      <c r="B20" s="167" t="s">
        <v>1994</v>
      </c>
      <c r="C20" s="3325">
        <f>ROUND(IF(F21="与级别开发程度一致",0,(G21-E21)/C21),0)</f>
        <v>-36</v>
      </c>
      <c r="D20" s="3341" t="s">
        <v>1998</v>
      </c>
      <c r="E20" s="3342"/>
      <c r="F20" s="3760" t="s">
        <v>1995</v>
      </c>
      <c r="G20" s="3761"/>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3386</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45007</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0.88939999999999997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1.2158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1.2158</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3199</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93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27844</v>
      </c>
      <c r="D33" s="3453">
        <f>'数据-汇总表'!D3</f>
        <v>1015.54</v>
      </c>
      <c r="E33" s="773">
        <f>ROUND(C33*D33/10000,0)</f>
        <v>2828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6961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13605</v>
      </c>
      <c r="D37" s="2098"/>
      <c r="E37" s="171">
        <f>ROUND(C37*D37/10000,0)</f>
        <v>0</v>
      </c>
      <c r="F37" s="171">
        <f>SUMIF(修正!A57:A68,G2,修正!B57:B68)</f>
        <v>0.6</v>
      </c>
      <c r="G37" s="171">
        <f>ROUND(IF(E2="工业",C37*$M$42,C37*$M$41),0)</f>
        <v>3401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6802</v>
      </c>
      <c r="D38" s="2098"/>
      <c r="E38" s="171">
        <f t="shared" ref="E38:E42" si="4">ROUND(C38*D38/10000,0)</f>
        <v>0</v>
      </c>
      <c r="F38" s="171">
        <f>SUMIF(修正!A57:A68,G2,修正!C57:C68)</f>
        <v>0.3</v>
      </c>
      <c r="G38" s="171">
        <f>ROUND(IF(E2="工业",C38*$M$42,C38*$M$41),0)</f>
        <v>1701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3266</v>
      </c>
      <c r="C39" s="175">
        <f>ROUND(D5*C22*C23*C24*C28*F39,0)</f>
        <v>5669</v>
      </c>
      <c r="D39" s="2098"/>
      <c r="E39" s="171">
        <f t="shared" si="4"/>
        <v>0</v>
      </c>
      <c r="F39" s="171">
        <f>SUMIF(修正!A57:A68,G2,修正!D57:D68)</f>
        <v>0.25</v>
      </c>
      <c r="G39" s="171">
        <f>ROUND(IF(E2="工业",C39*$M$42,C39*$M$41),0)</f>
        <v>1417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5669</v>
      </c>
      <c r="D40" s="2098">
        <f>'数据-汇总表'!G19</f>
        <v>654.54</v>
      </c>
      <c r="E40" s="171">
        <f t="shared" si="4"/>
        <v>371</v>
      </c>
      <c r="F40" s="175">
        <f>SUMIF(修正!A57:A68,G2,修正!E57:E68)</f>
        <v>0.25</v>
      </c>
      <c r="G40" s="171">
        <f>ROUND(IF(E2="工业",C40*$M$42,C40*$M$41),0)</f>
        <v>1417</v>
      </c>
      <c r="H40" s="171">
        <f t="shared" si="5"/>
        <v>654.54</v>
      </c>
      <c r="I40" s="171">
        <f t="shared" si="6"/>
        <v>93</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1.0490999999999999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3400</v>
      </c>
      <c r="D61" s="1065">
        <f t="shared" ref="D61:D69" si="12">SUMIF($J$60:$N$60,C61,J61:N61)</f>
        <v>1.0200000000000001E-2</v>
      </c>
      <c r="E61" s="744">
        <f>ROUND(SUM(D61:D69),4)</f>
        <v>4.9099999999999998E-2</v>
      </c>
      <c r="F61" s="1814">
        <f>IF(E2="办公",SUMIF(L1:L12,G2,N1:N12),"——")</f>
        <v>8.2000000000000003E-2</v>
      </c>
      <c r="G61" s="1063">
        <v>1.0200000000000001E-2</v>
      </c>
      <c r="H61" s="1066">
        <f t="shared" ref="H61:H69" si="13">IFERROR(ROUNDDOWN($F$61*I61/2,4),"——")</f>
        <v>1.0200000000000001E-2</v>
      </c>
      <c r="I61" s="3367">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3401</v>
      </c>
      <c r="D62" s="1065">
        <f t="shared" si="12"/>
        <v>2.12E-2</v>
      </c>
      <c r="E62" s="745"/>
      <c r="F62" s="1814"/>
      <c r="G62" s="1063">
        <v>1.06E-2</v>
      </c>
      <c r="H62" s="1066">
        <f t="shared" si="13"/>
        <v>1.06E-2</v>
      </c>
      <c r="I62" s="3367">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3400</v>
      </c>
      <c r="D63" s="1065">
        <f t="shared" si="12"/>
        <v>4.4999999999999997E-3</v>
      </c>
      <c r="E63" s="745"/>
      <c r="F63" s="1814"/>
      <c r="G63" s="1063">
        <v>4.4999999999999997E-3</v>
      </c>
      <c r="H63" s="1066">
        <f t="shared" si="13"/>
        <v>4.4999999999999997E-3</v>
      </c>
      <c r="I63" s="3367">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2E-3</v>
      </c>
      <c r="E64" s="745"/>
      <c r="F64" s="1814"/>
      <c r="G64" s="1063">
        <v>2E-3</v>
      </c>
      <c r="H64" s="1066">
        <f t="shared" si="13"/>
        <v>2E-3</v>
      </c>
      <c r="I64" s="3367">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3402</v>
      </c>
      <c r="D65" s="1065">
        <f t="shared" si="12"/>
        <v>0</v>
      </c>
      <c r="E65" s="745"/>
      <c r="F65" s="1814"/>
      <c r="G65" s="1063">
        <v>2E-3</v>
      </c>
      <c r="H65" s="1066">
        <f t="shared" si="13"/>
        <v>2E-3</v>
      </c>
      <c r="I65" s="3367">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2.3999999999999998E-3</v>
      </c>
      <c r="E66" s="745"/>
      <c r="F66" s="1814"/>
      <c r="G66" s="1063">
        <v>2.3999999999999998E-3</v>
      </c>
      <c r="H66" s="1066">
        <f t="shared" si="13"/>
        <v>2.3999999999999998E-3</v>
      </c>
      <c r="I66" s="3367">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2.3999999999999998E-3</v>
      </c>
      <c r="E67" s="745"/>
      <c r="F67" s="1814"/>
      <c r="G67" s="1063">
        <v>2.3999999999999998E-3</v>
      </c>
      <c r="H67" s="1066">
        <f t="shared" si="13"/>
        <v>2.3999999999999998E-3</v>
      </c>
      <c r="I67" s="3367">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3400</v>
      </c>
      <c r="D68" s="1065">
        <f t="shared" si="12"/>
        <v>3.5999999999999999E-3</v>
      </c>
      <c r="E68" s="745"/>
      <c r="F68" s="1814"/>
      <c r="G68" s="1063">
        <v>3.5999999999999999E-3</v>
      </c>
      <c r="H68" s="1066">
        <f t="shared" si="13"/>
        <v>3.5999999999999999E-3</v>
      </c>
      <c r="I68" s="3367">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2.8E-3</v>
      </c>
      <c r="E69" s="746"/>
      <c r="F69" s="1814"/>
      <c r="G69" s="1063">
        <v>2.8E-3</v>
      </c>
      <c r="H69" s="1066">
        <f t="shared" si="13"/>
        <v>2.8E-3</v>
      </c>
      <c r="I69" s="3368">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0.92730000000000001</v>
      </c>
      <c r="E116" s="2000" t="s">
        <v>3321</v>
      </c>
      <c r="F116" s="3402" t="str">
        <f>E2</f>
        <v>办公</v>
      </c>
      <c r="G116" s="2000" t="s">
        <v>3322</v>
      </c>
      <c r="H116" s="3402" t="str">
        <f>G2</f>
        <v>三级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6"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6" t="s">
        <v>2615</v>
      </c>
      <c r="C27" s="3103" t="s">
        <v>2455</v>
      </c>
      <c r="D27" s="3104"/>
      <c r="E27" s="3105">
        <v>1</v>
      </c>
      <c r="F27" s="3106" t="s">
        <v>2456</v>
      </c>
      <c r="G27" s="3106"/>
    </row>
    <row r="28" spans="1:13" ht="19.5" customHeight="1">
      <c r="A28" s="3769"/>
      <c r="B28" s="3765"/>
      <c r="C28" s="3107" t="s">
        <v>2457</v>
      </c>
      <c r="D28" s="3108"/>
      <c r="E28" s="3109">
        <v>1</v>
      </c>
      <c r="F28" s="3106" t="s">
        <v>2458</v>
      </c>
      <c r="G28" s="3106"/>
    </row>
    <row r="29" spans="1:13" ht="19.5" customHeight="1">
      <c r="A29" s="3769"/>
      <c r="B29" s="3765"/>
      <c r="C29" s="3107" t="s">
        <v>2459</v>
      </c>
      <c r="D29" s="3108"/>
      <c r="E29" s="3109">
        <v>0.8</v>
      </c>
      <c r="F29" s="3106" t="s">
        <v>2460</v>
      </c>
      <c r="G29" s="3106"/>
    </row>
    <row r="30" spans="1:13" ht="19.5" customHeight="1">
      <c r="A30" s="3769"/>
      <c r="B30" s="3765"/>
      <c r="C30" s="3107" t="s">
        <v>2461</v>
      </c>
      <c r="D30" s="3108"/>
      <c r="E30" s="3109">
        <v>0.8</v>
      </c>
      <c r="F30" s="3106" t="s">
        <v>2462</v>
      </c>
      <c r="G30" s="3106"/>
    </row>
    <row r="31" spans="1:13" ht="19.5" customHeight="1">
      <c r="A31" s="3769"/>
      <c r="B31" s="3765"/>
      <c r="C31" s="3107" t="s">
        <v>2463</v>
      </c>
      <c r="D31" s="3108"/>
      <c r="E31" s="3109">
        <v>0.8</v>
      </c>
      <c r="F31" s="3106" t="s">
        <v>2464</v>
      </c>
      <c r="G31" s="3106"/>
    </row>
    <row r="32" spans="1:13" ht="19.5" customHeight="1">
      <c r="A32" s="3769"/>
      <c r="B32" s="3765"/>
      <c r="C32" s="3107" t="s">
        <v>2465</v>
      </c>
      <c r="D32" s="3108"/>
      <c r="E32" s="3109">
        <v>0.7</v>
      </c>
      <c r="F32" s="3106" t="s">
        <v>2466</v>
      </c>
      <c r="G32" s="3106"/>
    </row>
    <row r="33" spans="1:7" ht="19.5" customHeight="1">
      <c r="A33" s="3769"/>
      <c r="B33" s="3765"/>
      <c r="C33" s="3107" t="s">
        <v>2467</v>
      </c>
      <c r="D33" s="3108"/>
      <c r="E33" s="3109">
        <v>0.8</v>
      </c>
      <c r="F33" s="3106" t="s">
        <v>2468</v>
      </c>
      <c r="G33" s="3106"/>
    </row>
    <row r="34" spans="1:7" ht="19.5" customHeight="1">
      <c r="A34" s="3769"/>
      <c r="B34" s="3765"/>
      <c r="C34" s="3107" t="s">
        <v>2469</v>
      </c>
      <c r="D34" s="3108"/>
      <c r="E34" s="3109">
        <v>0.6</v>
      </c>
      <c r="F34" s="3106" t="s">
        <v>2470</v>
      </c>
      <c r="G34" s="3106"/>
    </row>
    <row r="35" spans="1:7" ht="19.5" customHeight="1">
      <c r="A35" s="3769"/>
      <c r="B35" s="3765"/>
      <c r="C35" s="3107" t="s">
        <v>2471</v>
      </c>
      <c r="D35" s="3108"/>
      <c r="E35" s="3109">
        <v>0.2</v>
      </c>
      <c r="F35" s="3106" t="s">
        <v>2472</v>
      </c>
      <c r="G35" s="3106"/>
    </row>
    <row r="36" spans="1:7" ht="19.5" customHeight="1">
      <c r="A36" s="3769"/>
      <c r="B36" s="3765"/>
      <c r="C36" s="3107" t="s">
        <v>2473</v>
      </c>
      <c r="D36" s="3108"/>
      <c r="E36" s="3109">
        <v>0.2</v>
      </c>
      <c r="F36" s="3106" t="s">
        <v>2474</v>
      </c>
      <c r="G36" s="3106"/>
    </row>
    <row r="37" spans="1:7" ht="19.5" customHeight="1">
      <c r="A37" s="3769"/>
      <c r="B37" s="3763" t="s">
        <v>2635</v>
      </c>
      <c r="C37" s="3107" t="s">
        <v>2475</v>
      </c>
      <c r="D37" s="3108"/>
      <c r="E37" s="3109">
        <v>0.6</v>
      </c>
      <c r="F37" s="3106" t="s">
        <v>2476</v>
      </c>
      <c r="G37" s="3106"/>
    </row>
    <row r="38" spans="1:7" ht="19.5" customHeight="1">
      <c r="A38" s="3769"/>
      <c r="B38" s="3765"/>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6"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6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63"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3.5">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13.5">
      <c r="A85" s="3118">
        <v>13</v>
      </c>
      <c r="B85" s="3765"/>
      <c r="C85" s="3092" t="s">
        <v>2679</v>
      </c>
      <c r="D85" s="3092" t="s">
        <v>2680</v>
      </c>
      <c r="E85" s="3118">
        <v>0.1</v>
      </c>
      <c r="F85" s="3118">
        <v>15</v>
      </c>
    </row>
    <row r="86" spans="1:6" ht="13.5">
      <c r="A86" s="3118">
        <v>14</v>
      </c>
      <c r="B86" s="3765"/>
      <c r="C86" s="3092" t="s">
        <v>2681</v>
      </c>
      <c r="D86" s="3092" t="s">
        <v>2682</v>
      </c>
      <c r="E86" s="3118">
        <v>0.1</v>
      </c>
      <c r="F86" s="3118">
        <v>15</v>
      </c>
    </row>
    <row r="87" spans="1:6" ht="13.5">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64"/>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65"/>
      <c r="C91" s="3092" t="s">
        <v>2692</v>
      </c>
      <c r="D91" s="3092" t="s">
        <v>2693</v>
      </c>
      <c r="E91" s="3118">
        <v>0.2</v>
      </c>
      <c r="F91" s="3118">
        <v>25</v>
      </c>
    </row>
    <row r="92" spans="1:6" ht="13.5">
      <c r="A92" s="3118">
        <v>20</v>
      </c>
      <c r="B92" s="3765"/>
      <c r="C92" s="3092" t="s">
        <v>2694</v>
      </c>
      <c r="D92" s="3092" t="s">
        <v>2695</v>
      </c>
      <c r="E92" s="3118">
        <v>0.15</v>
      </c>
      <c r="F92" s="3118">
        <v>20</v>
      </c>
    </row>
    <row r="93" spans="1:6" ht="13.5">
      <c r="A93" s="3118">
        <v>21</v>
      </c>
      <c r="B93" s="3765"/>
      <c r="C93" s="3092" t="s">
        <v>2696</v>
      </c>
      <c r="D93" s="3092" t="s">
        <v>2697</v>
      </c>
      <c r="E93" s="3118">
        <v>0.15</v>
      </c>
      <c r="F93" s="3118">
        <v>20</v>
      </c>
    </row>
    <row r="94" spans="1:6" ht="13.5">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13.5">
      <c r="A96" s="3118">
        <v>24</v>
      </c>
      <c r="B96" s="3765"/>
      <c r="C96" s="3092" t="s">
        <v>2702</v>
      </c>
      <c r="D96" s="3092" t="s">
        <v>2703</v>
      </c>
      <c r="E96" s="3118">
        <v>0.1</v>
      </c>
      <c r="F96" s="3118">
        <v>15</v>
      </c>
    </row>
    <row r="97" spans="1:6" ht="13.5">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13.5">
      <c r="A100" s="3118">
        <v>28</v>
      </c>
      <c r="B100" s="3765"/>
      <c r="C100" s="3092" t="s">
        <v>2710</v>
      </c>
      <c r="D100" s="3092" t="s">
        <v>2711</v>
      </c>
      <c r="E100" s="3118">
        <v>0.1</v>
      </c>
      <c r="F100" s="3118">
        <v>15</v>
      </c>
    </row>
    <row r="101" spans="1:6" ht="13.5">
      <c r="A101" s="3118">
        <v>29</v>
      </c>
      <c r="B101" s="3765"/>
      <c r="C101" s="3092" t="s">
        <v>2712</v>
      </c>
      <c r="D101" s="3092" t="s">
        <v>2713</v>
      </c>
      <c r="E101" s="3118">
        <v>0.1</v>
      </c>
      <c r="F101" s="3118">
        <v>15</v>
      </c>
    </row>
    <row r="102" spans="1:6" ht="13.5">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64"/>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65"/>
      <c r="C108" s="3118" t="s">
        <v>2727</v>
      </c>
      <c r="D108" s="3092" t="s">
        <v>2728</v>
      </c>
      <c r="E108" s="3118">
        <v>0.15</v>
      </c>
      <c r="F108" s="3118">
        <v>20</v>
      </c>
    </row>
    <row r="109" spans="1:6" ht="13.5">
      <c r="A109" s="3118">
        <v>37</v>
      </c>
      <c r="B109" s="3765"/>
      <c r="C109" s="3118" t="s">
        <v>2729</v>
      </c>
      <c r="D109" s="3092" t="s">
        <v>2730</v>
      </c>
      <c r="E109" s="3118">
        <v>0.15</v>
      </c>
      <c r="F109" s="3118">
        <v>20</v>
      </c>
    </row>
    <row r="110" spans="1:6" ht="13.5">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64"/>
      <c r="C112" s="3118" t="s">
        <v>2735</v>
      </c>
      <c r="D112" s="3092" t="s">
        <v>2736</v>
      </c>
      <c r="E112" s="3118">
        <v>0.1</v>
      </c>
      <c r="F112" s="3118">
        <v>15</v>
      </c>
    </row>
    <row r="113" spans="1:6" ht="13.5">
      <c r="A113" s="3118">
        <v>41</v>
      </c>
      <c r="B113" s="3762" t="s">
        <v>2737</v>
      </c>
      <c r="C113" s="3118" t="s">
        <v>2738</v>
      </c>
      <c r="D113" s="3092" t="s">
        <v>2739</v>
      </c>
      <c r="E113" s="3118">
        <v>0.1</v>
      </c>
      <c r="F113" s="3118">
        <v>15</v>
      </c>
    </row>
    <row r="114" spans="1:6" ht="13.5">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4"/>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2" t="s">
        <v>2772</v>
      </c>
      <c r="C127" s="3118" t="s">
        <v>2773</v>
      </c>
      <c r="D127" s="3092" t="s">
        <v>2774</v>
      </c>
      <c r="E127" s="3118">
        <v>0.1</v>
      </c>
      <c r="F127" s="3118">
        <v>15</v>
      </c>
    </row>
    <row r="128" spans="1:6" ht="13.5">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13.5">
      <c r="A131" s="3118">
        <v>59</v>
      </c>
      <c r="B131" s="3762"/>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2" t="s">
        <v>2792</v>
      </c>
      <c r="C135" s="3118" t="s">
        <v>2793</v>
      </c>
      <c r="D135" s="3092" t="s">
        <v>2794</v>
      </c>
      <c r="E135" s="3118">
        <v>0.1</v>
      </c>
      <c r="F135" s="3118">
        <v>15</v>
      </c>
    </row>
    <row r="136" spans="1:6" ht="13.5">
      <c r="A136" s="3118">
        <v>64</v>
      </c>
      <c r="B136" s="376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28086</v>
      </c>
      <c r="C2" s="2" t="s">
        <v>106</v>
      </c>
      <c r="D2" s="199"/>
      <c r="E2" s="199"/>
      <c r="F2" s="199"/>
      <c r="G2" s="199"/>
    </row>
    <row r="3" spans="1:7" s="200" customFormat="1" ht="18" customHeight="1" thickBot="1">
      <c r="A3" s="203" t="s">
        <v>58</v>
      </c>
      <c r="B3" s="204">
        <f ca="1">ROUND(B2*10000/'数据-汇总表'!E3,0)</f>
        <v>188981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v>
      </c>
      <c r="D10" s="845">
        <f>'数据-汇总表'!E6</f>
        <v>1486.1799999999998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v>
      </c>
      <c r="D19" s="849">
        <f>'数据-汇总表'!E3</f>
        <v>1486.1799999999998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1311</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416</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v>
      </c>
      <c r="D37" s="217">
        <f>'数据-汇总表'!E3</f>
        <v>1486.1799999999998</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5.9999999999999995E-4</v>
      </c>
      <c r="D44" s="238"/>
      <c r="E44" s="238"/>
      <c r="F44" s="239"/>
      <c r="G44" s="3640"/>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616</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437</v>
      </c>
      <c r="D51" s="232"/>
      <c r="E51" s="232"/>
      <c r="F51" s="264"/>
      <c r="G51" s="234" t="s">
        <v>37</v>
      </c>
    </row>
    <row r="52" spans="1:7" s="208" customFormat="1" ht="16.5" thickBot="1">
      <c r="A52" s="265" t="s">
        <v>38</v>
      </c>
      <c r="B52" s="266"/>
      <c r="C52" s="267">
        <f ca="1">C31+C51</f>
        <v>28086</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3396</v>
      </c>
      <c r="E5" s="1491"/>
    </row>
    <row r="6" spans="1:5" ht="15.75">
      <c r="A6" s="1491"/>
      <c r="B6" s="3457"/>
      <c r="C6" s="1494" t="s">
        <v>911</v>
      </c>
      <c r="D6" s="850" t="str">
        <f ca="1">NUMBERSTRING(INT(D5*10000),2)&amp;"元整"</f>
        <v>叁仟叁佰玖拾陆万元整</v>
      </c>
      <c r="E6" s="1491"/>
    </row>
    <row r="7" spans="1:5" ht="15.75">
      <c r="A7" s="1491"/>
      <c r="B7" s="3462"/>
      <c r="C7" s="1495" t="s">
        <v>912</v>
      </c>
      <c r="D7" s="851">
        <f ca="1">结果表!H102</f>
        <v>22850</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3396</v>
      </c>
      <c r="E13" s="1491"/>
    </row>
    <row r="14" spans="1:5" ht="15.75">
      <c r="A14" s="1491"/>
      <c r="B14" s="3457"/>
      <c r="C14" s="1494" t="s">
        <v>911</v>
      </c>
      <c r="D14" s="850" t="str">
        <f ca="1">NUMBERSTRING(INT(D13*10000),2)&amp;"元整"</f>
        <v>叁仟叁佰玖拾陆万元整</v>
      </c>
      <c r="E14" s="1491"/>
    </row>
    <row r="15" spans="1:5" ht="15">
      <c r="A15" s="1491"/>
      <c r="B15" s="3462"/>
      <c r="C15" s="1495" t="s">
        <v>921</v>
      </c>
      <c r="D15" s="859">
        <f ca="1">结果表!H108</f>
        <v>22850</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3188</v>
      </c>
      <c r="B1" s="377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45007</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45007</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6:F77"/>
  <sheetViews>
    <sheetView topLeftCell="A31" workbookViewId="0">
      <selection activeCell="L77" sqref="L77"/>
    </sheetView>
  </sheetViews>
  <sheetFormatPr defaultRowHeight="13.5"/>
  <sheetData>
    <row r="76" spans="2:6">
      <c r="B76" s="3454" t="s">
        <v>3410</v>
      </c>
      <c r="C76" s="3454" t="s">
        <v>3411</v>
      </c>
      <c r="D76">
        <v>5.5</v>
      </c>
      <c r="E76" s="3454" t="s">
        <v>3412</v>
      </c>
      <c r="F76" s="3454" t="s">
        <v>3415</v>
      </c>
    </row>
    <row r="77" spans="2:6">
      <c r="B77" s="3454" t="s">
        <v>3413</v>
      </c>
      <c r="C77" s="3454" t="s">
        <v>3414</v>
      </c>
      <c r="D77">
        <v>4</v>
      </c>
      <c r="E77" s="3454" t="s">
        <v>3412</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1486.1799999999998</v>
      </c>
      <c r="C4" s="854">
        <f>项目基本情况!C18</f>
        <v>1015.54</v>
      </c>
      <c r="D4" s="854">
        <f>结果表!D118</f>
        <v>0</v>
      </c>
      <c r="E4" s="854">
        <f>结果表!E118</f>
        <v>0</v>
      </c>
      <c r="F4" s="854">
        <f>结果表!F118</f>
        <v>0</v>
      </c>
      <c r="G4" s="854">
        <f>结果表!G118</f>
        <v>0</v>
      </c>
      <c r="H4" s="854">
        <f ca="1">结果表!H118</f>
        <v>3396</v>
      </c>
      <c r="I4" s="854">
        <f ca="1">结果表!I118</f>
        <v>22850</v>
      </c>
    </row>
    <row r="5" spans="1:9" ht="30" customHeight="1">
      <c r="A5" s="3469" t="s">
        <v>927</v>
      </c>
      <c r="B5" s="3469"/>
      <c r="C5" s="3469"/>
      <c r="D5" s="3469" t="str">
        <f>结果表!D119</f>
        <v>零元整</v>
      </c>
      <c r="E5" s="3469"/>
      <c r="F5" s="3469" t="str">
        <f>结果表!F119</f>
        <v>零元整</v>
      </c>
      <c r="G5" s="3469"/>
      <c r="H5" s="3469" t="str">
        <f ca="1">结果表!H119</f>
        <v>叁仟叁佰玖拾陆万元整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3396</v>
      </c>
      <c r="E8" s="3468"/>
      <c r="F8" s="3468"/>
      <c r="G8" s="3468"/>
      <c r="H8" s="3468"/>
      <c r="I8" s="3468"/>
    </row>
    <row r="9" spans="1:9" ht="15">
      <c r="A9" s="3469" t="s">
        <v>927</v>
      </c>
      <c r="B9" s="3469"/>
      <c r="C9" s="3469"/>
      <c r="D9" s="3469" t="str">
        <f ca="1">结果表!D123</f>
        <v>叁仟叁佰玖拾陆万元整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2023-03-23T08:38:50Z</dcterms:modified>
</cp:coreProperties>
</file>