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60" windowWidth="9270" windowHeight="1326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典型户型修正" sheetId="31" r:id="rId20"/>
    <sheet name="成本法 (元)" sheetId="69" state="hidden" r:id="rId21"/>
    <sheet name="假设开发法" sheetId="12" state="hidden"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仓储" sheetId="77" r:id="rId34"/>
    <sheet name="成本法-仓储" sheetId="68" r:id="rId35"/>
    <sheet name="基准地价修正" sheetId="43" r:id="rId36"/>
    <sheet name="收益法-仓储" sheetId="78" r:id="rId37"/>
    <sheet name="结果表-车库" sheetId="79" r:id="rId38"/>
    <sheet name="成本法-车库" sheetId="80" r:id="rId39"/>
    <sheet name="收益法-车库" sheetId="81"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6">'收益法-仓储'!$A$1:$AK$69</definedName>
    <definedName name="_xlnm.Print_Area" localSheetId="3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1" l="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G41" i="80"/>
  <c r="F38" i="80"/>
  <c r="E37" i="80"/>
  <c r="F36" i="80"/>
  <c r="F35" i="80"/>
  <c r="F34" i="80"/>
  <c r="F30" i="80"/>
  <c r="G22" i="80"/>
  <c r="F21" i="80"/>
  <c r="C40" i="80" s="1"/>
  <c r="F20" i="80"/>
  <c r="E19" i="80"/>
  <c r="E10" i="80"/>
  <c r="E9" i="80"/>
  <c r="C8" i="80"/>
  <c r="F7" i="80"/>
  <c r="G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A120" i="77"/>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D27" i="77"/>
  <c r="C25" i="77"/>
  <c r="C24" i="77"/>
  <c r="D17" i="77"/>
  <c r="C17" i="77"/>
  <c r="C18" i="77" s="1"/>
  <c r="D18" i="77" s="1"/>
  <c r="L4" i="77"/>
  <c r="K4" i="77"/>
  <c r="A2" i="77"/>
  <c r="H1" i="77"/>
  <c r="B26" i="31"/>
  <c r="B25" i="31"/>
  <c r="B24" i="31"/>
  <c r="C37" i="34"/>
  <c r="C34" i="34"/>
  <c r="Y8" i="1"/>
  <c r="Y7" i="1"/>
  <c r="Y6" i="1"/>
  <c r="F9" i="81"/>
  <c r="F8" i="78"/>
  <c r="E2" i="80"/>
  <c r="F9" i="78"/>
  <c r="C76" i="81"/>
  <c r="F27" i="80"/>
  <c r="C76" i="78"/>
  <c r="F8" i="81"/>
  <c r="C21" i="80" l="1"/>
  <c r="C29" i="80" s="1"/>
  <c r="D27" i="80" s="1"/>
  <c r="Q71" i="81"/>
  <c r="F51" i="81"/>
  <c r="C47" i="80"/>
  <c r="D45" i="80" s="1"/>
  <c r="K120" i="79"/>
  <c r="D121" i="79"/>
  <c r="C92" i="79"/>
  <c r="C94" i="79"/>
  <c r="H112" i="79"/>
  <c r="H110" i="79"/>
  <c r="H111" i="79"/>
  <c r="D126" i="79" s="1"/>
  <c r="D127" i="79" s="1"/>
  <c r="Q71" i="78"/>
  <c r="F51" i="78"/>
  <c r="C92" i="77"/>
  <c r="C94" i="77"/>
  <c r="K120" i="77"/>
  <c r="D121" i="77"/>
  <c r="H109" i="77"/>
  <c r="H112" i="77"/>
  <c r="L47" i="81"/>
  <c r="M6" i="78"/>
  <c r="M26" i="81"/>
  <c r="F16" i="81"/>
  <c r="F13" i="81"/>
  <c r="J15" i="81"/>
  <c r="C36" i="80"/>
  <c r="M27" i="78"/>
  <c r="F38" i="81"/>
  <c r="F16" i="78"/>
  <c r="F26" i="81"/>
  <c r="L47" i="78"/>
  <c r="F6" i="81"/>
  <c r="F13" i="78"/>
  <c r="M8" i="81"/>
  <c r="F42" i="78"/>
  <c r="M6" i="81"/>
  <c r="M24" i="78"/>
  <c r="M9" i="81"/>
  <c r="F37" i="78"/>
  <c r="M22" i="81"/>
  <c r="F42" i="81"/>
  <c r="J15" i="78"/>
  <c r="M27" i="81"/>
  <c r="F6" i="78"/>
  <c r="F38" i="78"/>
  <c r="M24" i="81"/>
  <c r="F40" i="78"/>
  <c r="F40" i="81"/>
  <c r="M28" i="78"/>
  <c r="M23" i="81"/>
  <c r="F36" i="78"/>
  <c r="F36" i="81"/>
  <c r="D9" i="80"/>
  <c r="F26" i="78"/>
  <c r="M8" i="78"/>
  <c r="M22" i="78"/>
  <c r="F37" i="81"/>
  <c r="M23" i="78"/>
  <c r="M26" i="78"/>
  <c r="M28" i="81"/>
  <c r="M9" i="78"/>
  <c r="F68" i="81" l="1"/>
  <c r="F66" i="81"/>
  <c r="F64" i="81"/>
  <c r="C27" i="81"/>
  <c r="F65" i="81"/>
  <c r="C9" i="80"/>
  <c r="F66" i="78"/>
  <c r="F64" i="78"/>
  <c r="C27" i="78"/>
  <c r="F68" i="78"/>
  <c r="F65" i="78"/>
  <c r="D124" i="77"/>
  <c r="D125" i="77" s="1"/>
  <c r="H110" i="77"/>
  <c r="F19" i="6" l="1"/>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H5"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D38" i="43" s="1"/>
  <c r="D1"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0" i="6" s="1"/>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W34" i="34"/>
  <c r="AA25" i="34"/>
  <c r="U28" i="34"/>
  <c r="S17" i="34"/>
  <c r="AA29" i="34"/>
  <c r="U27" i="34"/>
  <c r="U15"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1" i="6"/>
  <c r="E61" i="39" s="1"/>
  <c r="BL17" i="3"/>
  <c r="AZ17" i="3"/>
  <c r="BL13" i="3"/>
  <c r="G30" i="6"/>
  <c r="G31" i="6" s="1"/>
  <c r="J56" i="9"/>
  <c r="J57" i="9"/>
  <c r="A24" i="51"/>
  <c r="B18" i="72"/>
  <c r="U29" i="34"/>
  <c r="E14" i="6"/>
  <c r="E5" i="6"/>
  <c r="D9" i="11" s="1"/>
  <c r="C9" i="11" s="1"/>
  <c r="E32" i="6"/>
  <c r="L19" i="6"/>
  <c r="G1" i="68"/>
  <c r="K1" i="12"/>
  <c r="F30" i="6"/>
  <c r="E28" i="6"/>
  <c r="AR12" i="1"/>
  <c r="AQ12" i="1"/>
  <c r="T12" i="1"/>
  <c r="AR10" i="1"/>
  <c r="T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G19" i="43"/>
  <c r="O19" i="43" s="1"/>
  <c r="T35" i="4"/>
  <c r="A19" i="51"/>
  <c r="B14" i="72" s="1"/>
  <c r="A4" i="51"/>
  <c r="B6" i="72" s="1"/>
  <c r="D58" i="21"/>
  <c r="E58" i="21" s="1"/>
  <c r="F58" i="21" s="1"/>
  <c r="C4" i="12"/>
  <c r="H55" i="43"/>
  <c r="H51" i="43"/>
  <c r="H56" i="43"/>
  <c r="H76" i="43"/>
  <c r="H72" i="43"/>
  <c r="H77" i="43"/>
  <c r="L20" i="6"/>
  <c r="L27" i="6" s="1"/>
  <c r="B6" i="1"/>
  <c r="E6" i="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Q52" i="67"/>
  <c r="AC11" i="37"/>
  <c r="W11" i="37"/>
  <c r="F34" i="11"/>
  <c r="F11" i="12"/>
  <c r="F34" i="68"/>
  <c r="AG6" i="1"/>
  <c r="H109" i="9"/>
  <c r="D124" i="9" s="1"/>
  <c r="H110" i="9"/>
  <c r="D18" i="53" s="1"/>
  <c r="B35" i="72" s="1"/>
  <c r="D16" i="53"/>
  <c r="B34" i="72" s="1"/>
  <c r="J7" i="33"/>
  <c r="W7" i="33" s="1"/>
  <c r="F7" i="33"/>
  <c r="S7" i="33" s="1"/>
  <c r="AA7" i="33"/>
  <c r="R48" i="33" s="1"/>
  <c r="AC7" i="33"/>
  <c r="V48" i="33" s="1"/>
  <c r="I48" i="33" s="1"/>
  <c r="H112" i="9"/>
  <c r="D21" i="53"/>
  <c r="B39" i="72" s="1"/>
  <c r="H111" i="9"/>
  <c r="D126" i="9" s="1"/>
  <c r="D19" i="53"/>
  <c r="B38" i="72" s="1"/>
  <c r="D59" i="9"/>
  <c r="M55" i="9"/>
  <c r="D20" i="53"/>
  <c r="B40" i="72" s="1"/>
  <c r="AD3" i="71"/>
  <c r="F7" i="15"/>
  <c r="M26" i="15"/>
  <c r="M9" i="67"/>
  <c r="B9" i="76"/>
  <c r="M9" i="15"/>
  <c r="D2" i="33"/>
  <c r="L48" i="15"/>
  <c r="C76" i="15"/>
  <c r="L48" i="67"/>
  <c r="M27" i="15"/>
  <c r="B7" i="76"/>
  <c r="F6" i="15"/>
  <c r="J15" i="15"/>
  <c r="M6" i="15"/>
  <c r="F7" i="67"/>
  <c r="F38" i="67"/>
  <c r="L47" i="67"/>
  <c r="E7" i="76"/>
  <c r="F26" i="15"/>
  <c r="F4" i="73"/>
  <c r="E12" i="76"/>
  <c r="F37" i="15"/>
  <c r="F8" i="15"/>
  <c r="M29" i="67"/>
  <c r="M26" i="67"/>
  <c r="M8" i="15"/>
  <c r="F5" i="73"/>
  <c r="F26" i="67"/>
  <c r="F41" i="67"/>
  <c r="F42" i="15"/>
  <c r="E13" i="76"/>
  <c r="E2" i="69"/>
  <c r="F20" i="31"/>
  <c r="F6" i="67"/>
  <c r="F16" i="15"/>
  <c r="F35" i="67"/>
  <c r="B10" i="76"/>
  <c r="F43" i="67"/>
  <c r="M27" i="67"/>
  <c r="M24" i="15"/>
  <c r="C76" i="67"/>
  <c r="AO9" i="1"/>
  <c r="AO11" i="1"/>
  <c r="F38" i="15"/>
  <c r="E9" i="76"/>
  <c r="D2" i="21"/>
  <c r="M22" i="67"/>
  <c r="D2" i="34"/>
  <c r="M23" i="67"/>
  <c r="B13" i="76"/>
  <c r="B11" i="76"/>
  <c r="F36" i="15"/>
  <c r="D2" i="36"/>
  <c r="M24" i="67"/>
  <c r="F3" i="73"/>
  <c r="M29" i="15"/>
  <c r="AO13" i="1"/>
  <c r="F13" i="15"/>
  <c r="F8" i="67"/>
  <c r="F40" i="15"/>
  <c r="L47" i="15"/>
  <c r="B8" i="76"/>
  <c r="E11" i="76"/>
  <c r="F13" i="67"/>
  <c r="AO12" i="1"/>
  <c r="F40" i="67"/>
  <c r="M22" i="15"/>
  <c r="F37" i="67"/>
  <c r="F36" i="67"/>
  <c r="M6" i="67"/>
  <c r="F9" i="67"/>
  <c r="B12" i="76"/>
  <c r="AO10" i="1"/>
  <c r="E8" i="76"/>
  <c r="M28" i="15"/>
  <c r="E2" i="68"/>
  <c r="D2" i="35"/>
  <c r="L48" i="78"/>
  <c r="D2" i="37"/>
  <c r="J15" i="67"/>
  <c r="F43" i="15"/>
  <c r="F42" i="67"/>
  <c r="F7" i="73"/>
  <c r="F16" i="67"/>
  <c r="F9" i="15"/>
  <c r="M28" i="67"/>
  <c r="M8" i="67"/>
  <c r="E10" i="76"/>
  <c r="M21" i="67"/>
  <c r="M23" i="15"/>
  <c r="F6" i="73"/>
  <c r="BA16" i="3" l="1"/>
  <c r="AZ16" i="3" s="1"/>
  <c r="AZ5" i="3" s="1"/>
  <c r="E21" i="6"/>
  <c r="E64" i="39"/>
  <c r="E59" i="40"/>
  <c r="G16" i="3"/>
  <c r="G5" i="3" s="1"/>
  <c r="B3" i="3" s="1"/>
  <c r="E117" i="3" s="1"/>
  <c r="BA5" i="3"/>
  <c r="E15" i="6"/>
  <c r="E60" i="40" s="1"/>
  <c r="E20" i="6"/>
  <c r="L58" i="78"/>
  <c r="C59" i="34"/>
  <c r="D59" i="34" s="1"/>
  <c r="E59" i="34" s="1"/>
  <c r="F59" i="34" s="1"/>
  <c r="G59" i="34" s="1"/>
  <c r="H59" i="34" s="1"/>
  <c r="I59" i="34" s="1"/>
  <c r="J59" i="34" s="1"/>
  <c r="K59" i="34" s="1"/>
  <c r="I7" i="34"/>
  <c r="E7" i="34"/>
  <c r="G7" i="34"/>
  <c r="G7" i="1"/>
  <c r="F8" i="1"/>
  <c r="J51" i="81"/>
  <c r="M47" i="79"/>
  <c r="M47" i="77"/>
  <c r="J51" i="78"/>
  <c r="L57" i="78" s="1"/>
  <c r="C77" i="79"/>
  <c r="C74" i="79"/>
  <c r="C28" i="78"/>
  <c r="C28" i="81"/>
  <c r="C48" i="80"/>
  <c r="C30" i="80"/>
  <c r="C77" i="77"/>
  <c r="C74" i="77" s="1"/>
  <c r="H7" i="33"/>
  <c r="C36" i="11"/>
  <c r="J51" i="15"/>
  <c r="J53" i="15" s="1"/>
  <c r="F1" i="15" s="1"/>
  <c r="O7" i="1"/>
  <c r="D59" i="43"/>
  <c r="E59" i="43" s="1"/>
  <c r="B57" i="43" s="1"/>
  <c r="C24" i="43" s="1"/>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S10" i="34"/>
  <c r="W9" i="34"/>
  <c r="S9" i="34"/>
  <c r="C94" i="9"/>
  <c r="C92" i="9"/>
  <c r="F54" i="9"/>
  <c r="F31" i="12"/>
  <c r="F32" i="15"/>
  <c r="F60" i="15" s="1"/>
  <c r="F30" i="11"/>
  <c r="C48" i="11" s="1"/>
  <c r="M18" i="15"/>
  <c r="M18" i="67"/>
  <c r="F28" i="67"/>
  <c r="C28" i="67" s="1"/>
  <c r="F30" i="68"/>
  <c r="C30" i="68" s="1"/>
  <c r="D68" i="9"/>
  <c r="F28" i="15"/>
  <c r="C28" i="15" s="1"/>
  <c r="F30" i="69"/>
  <c r="F32" i="67"/>
  <c r="F60" i="67" s="1"/>
  <c r="F52" i="9"/>
  <c r="C36" i="69"/>
  <c r="E65" i="39"/>
  <c r="E180" i="3"/>
  <c r="E221" i="3"/>
  <c r="E91" i="3"/>
  <c r="E254" i="3"/>
  <c r="E185" i="3"/>
  <c r="E216" i="3"/>
  <c r="E231" i="3"/>
  <c r="E380" i="3"/>
  <c r="E439" i="3"/>
  <c r="E538" i="3"/>
  <c r="E561" i="3"/>
  <c r="AR6" i="3"/>
  <c r="E533" i="3"/>
  <c r="E270" i="3"/>
  <c r="E201" i="3"/>
  <c r="E247" i="3"/>
  <c r="E431" i="3"/>
  <c r="E579" i="3"/>
  <c r="E509" i="3"/>
  <c r="E328" i="3"/>
  <c r="E426" i="3"/>
  <c r="E153" i="3"/>
  <c r="E501" i="3"/>
  <c r="E319" i="3"/>
  <c r="E13" i="6"/>
  <c r="P7" i="1"/>
  <c r="D19" i="12"/>
  <c r="C19" i="12" s="1"/>
  <c r="E12" i="6"/>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7" i="6"/>
  <c r="K26" i="6" s="1"/>
  <c r="M26" i="6" s="1"/>
  <c r="I26" i="6" s="1"/>
  <c r="S26" i="6" s="1"/>
  <c r="D9" i="69"/>
  <c r="C9" i="69" s="1"/>
  <c r="BL5" i="3"/>
  <c r="K15" i="1"/>
  <c r="E30" i="6"/>
  <c r="P14" i="1"/>
  <c r="P11" i="1"/>
  <c r="K19" i="6"/>
  <c r="S6" i="1" s="1"/>
  <c r="E6" i="70" s="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30" i="69"/>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C17" i="67"/>
  <c r="D5" i="73"/>
  <c r="C14" i="67"/>
  <c r="D3" i="73"/>
  <c r="C17" i="15"/>
  <c r="D9" i="68"/>
  <c r="C16" i="67"/>
  <c r="D4" i="73"/>
  <c r="D7" i="73"/>
  <c r="AE6" i="1"/>
  <c r="C16" i="15"/>
  <c r="L48" i="81"/>
  <c r="F27" i="68"/>
  <c r="C36" i="68"/>
  <c r="D6" i="73"/>
  <c r="AY6" i="3" l="1"/>
  <c r="E3" i="6"/>
  <c r="M18" i="79"/>
  <c r="B118" i="79" s="1"/>
  <c r="K8" i="1"/>
  <c r="E175" i="3"/>
  <c r="E530" i="3"/>
  <c r="E343" i="3"/>
  <c r="E305" i="3"/>
  <c r="E508" i="3"/>
  <c r="E239" i="3"/>
  <c r="E516" i="3"/>
  <c r="E569" i="3"/>
  <c r="E396" i="3"/>
  <c r="E229" i="3"/>
  <c r="E151" i="3"/>
  <c r="E390" i="3"/>
  <c r="S6" i="3"/>
  <c r="E523" i="3"/>
  <c r="E506" i="3"/>
  <c r="E418" i="3"/>
  <c r="E338" i="3"/>
  <c r="E321" i="3"/>
  <c r="E298" i="3"/>
  <c r="E169" i="3"/>
  <c r="E61" i="3"/>
  <c r="E135" i="3"/>
  <c r="E290" i="3"/>
  <c r="E161" i="3"/>
  <c r="M18" i="77"/>
  <c r="B118" i="77" s="1"/>
  <c r="K7" i="1"/>
  <c r="E53" i="3"/>
  <c r="E125" i="3"/>
  <c r="E366" i="3"/>
  <c r="E553" i="3"/>
  <c r="E282" i="3"/>
  <c r="N6" i="3"/>
  <c r="O6" i="3"/>
  <c r="E574" i="3"/>
  <c r="E359" i="3"/>
  <c r="E285" i="3"/>
  <c r="E97" i="3"/>
  <c r="E311" i="3"/>
  <c r="E526" i="3"/>
  <c r="E322" i="3"/>
  <c r="E388" i="3"/>
  <c r="E410" i="3"/>
  <c r="E143" i="3"/>
  <c r="E358" i="3"/>
  <c r="E559" i="3"/>
  <c r="E551" i="3"/>
  <c r="V6" i="3"/>
  <c r="E407" i="3"/>
  <c r="E320" i="3"/>
  <c r="E294" i="3"/>
  <c r="E230" i="3"/>
  <c r="E130"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268" i="3"/>
  <c r="E337" i="3"/>
  <c r="E514" i="3"/>
  <c r="M6" i="3"/>
  <c r="E387" i="3"/>
  <c r="E215" i="3"/>
  <c r="E134"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17" i="3"/>
  <c r="AB6" i="3"/>
  <c r="E189" i="3"/>
  <c r="E181" i="3"/>
  <c r="E85" i="3"/>
  <c r="E238" i="3"/>
  <c r="E116" i="3"/>
  <c r="E105" i="3"/>
  <c r="E393" i="3"/>
  <c r="E493" i="3"/>
  <c r="E564" i="3"/>
  <c r="E543" i="3"/>
  <c r="E427" i="3"/>
  <c r="E486" i="3"/>
  <c r="E507" i="3"/>
  <c r="E422" i="3"/>
  <c r="E440" i="3"/>
  <c r="E477" i="3"/>
  <c r="E345" i="3"/>
  <c r="E367" i="3"/>
  <c r="E558" i="3"/>
  <c r="E505" i="3"/>
  <c r="E557" i="3"/>
  <c r="E547" i="3"/>
  <c r="E581" i="3"/>
  <c r="AS6" i="3"/>
  <c r="E531" i="3"/>
  <c r="E403" i="3"/>
  <c r="E444" i="3"/>
  <c r="E489" i="3"/>
  <c r="E546" i="3"/>
  <c r="E404" i="3"/>
  <c r="E447" i="3"/>
  <c r="E28" i="3"/>
  <c r="E88" i="3"/>
  <c r="E27" i="3"/>
  <c r="E92" i="3"/>
  <c r="E162" i="3"/>
  <c r="E166" i="3"/>
  <c r="E211" i="3"/>
  <c r="E295" i="3"/>
  <c r="E273" i="3"/>
  <c r="E316" i="3"/>
  <c r="E317" i="3"/>
  <c r="E384" i="3"/>
  <c r="AM6" i="3"/>
  <c r="E30" i="3"/>
  <c r="E29" i="3"/>
  <c r="E441" i="3"/>
  <c r="E425" i="3"/>
  <c r="E46" i="3"/>
  <c r="E142" i="3"/>
  <c r="E267" i="3"/>
  <c r="E300" i="3"/>
  <c r="E492" i="3"/>
  <c r="E84" i="3"/>
  <c r="E33" i="3"/>
  <c r="E127" i="3"/>
  <c r="E250" i="3"/>
  <c r="E284" i="3"/>
  <c r="E341" i="3"/>
  <c r="Y6" i="3"/>
  <c r="E51" i="3"/>
  <c r="E19" i="3"/>
  <c r="E118" i="3"/>
  <c r="E264" i="3"/>
  <c r="E283" i="3"/>
  <c r="E309" i="3"/>
  <c r="E513" i="3"/>
  <c r="E21" i="3"/>
  <c r="AJ6" i="3"/>
  <c r="E555" i="3"/>
  <c r="E570" i="3"/>
  <c r="E335" i="3"/>
  <c r="E188" i="3"/>
  <c r="E140" i="3"/>
  <c r="E223" i="3"/>
  <c r="E197" i="3"/>
  <c r="E173" i="3"/>
  <c r="E369" i="3"/>
  <c r="E525" i="3"/>
  <c r="E534" i="3"/>
  <c r="T6" i="3"/>
  <c r="E405" i="3"/>
  <c r="E456" i="3"/>
  <c r="E469" i="3"/>
  <c r="E512" i="3"/>
  <c r="E408" i="3"/>
  <c r="E451"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6" i="3"/>
  <c r="E71" i="3"/>
  <c r="E70" i="3"/>
  <c r="E121" i="3"/>
  <c r="E182" i="3"/>
  <c r="E126" i="3"/>
  <c r="E186" i="3"/>
  <c r="E272" i="3"/>
  <c r="E210" i="3"/>
  <c r="E291" i="3"/>
  <c r="E331" i="3"/>
  <c r="E377" i="3"/>
  <c r="E334" i="3"/>
  <c r="E572" i="3"/>
  <c r="E44" i="3"/>
  <c r="E109" i="3"/>
  <c r="E480" i="3"/>
  <c r="E484" i="3"/>
  <c r="E467" i="3"/>
  <c r="E64" i="3"/>
  <c r="E103" i="3"/>
  <c r="E160" i="3"/>
  <c r="E200" i="3"/>
  <c r="E249" i="3"/>
  <c r="E371" i="3"/>
  <c r="E310" i="3"/>
  <c r="E23" i="3"/>
  <c r="E67" i="3"/>
  <c r="E87" i="3"/>
  <c r="E144" i="3"/>
  <c r="E184" i="3"/>
  <c r="E233" i="3"/>
  <c r="E355" i="3"/>
  <c r="E381" i="3"/>
  <c r="E68" i="3"/>
  <c r="E63" i="3"/>
  <c r="E81" i="3"/>
  <c r="E154" i="3"/>
  <c r="E179" i="3"/>
  <c r="E222" i="3"/>
  <c r="E323" i="3"/>
  <c r="E373" i="3"/>
  <c r="E82" i="3"/>
  <c r="L57" i="81"/>
  <c r="L60" i="81"/>
  <c r="L58" i="81"/>
  <c r="L56" i="81"/>
  <c r="AB7" i="33"/>
  <c r="T48" i="33" s="1"/>
  <c r="G48" i="33" s="1"/>
  <c r="U7" i="33"/>
  <c r="J53" i="81"/>
  <c r="N59" i="81"/>
  <c r="L59" i="81"/>
  <c r="M59" i="81"/>
  <c r="I54" i="81"/>
  <c r="J57" i="81"/>
  <c r="J55" i="81" s="1"/>
  <c r="J58" i="81" s="1"/>
  <c r="Q50" i="81" s="1"/>
  <c r="Q73" i="78"/>
  <c r="Q60" i="78"/>
  <c r="G16" i="1"/>
  <c r="F10" i="40" s="1"/>
  <c r="L59" i="78"/>
  <c r="M59" i="78"/>
  <c r="J53" i="78"/>
  <c r="I54" i="78"/>
  <c r="N59" i="78"/>
  <c r="J57" i="78"/>
  <c r="J55" i="78" s="1"/>
  <c r="J58" i="78" s="1"/>
  <c r="Q50" i="78" s="1"/>
  <c r="G8" i="1"/>
  <c r="L60" i="78"/>
  <c r="L56" i="78"/>
  <c r="F11" i="81"/>
  <c r="M11" i="81"/>
  <c r="C9" i="68"/>
  <c r="G17" i="43"/>
  <c r="C16" i="43" s="1"/>
  <c r="D5" i="43" s="1"/>
  <c r="F11" i="78"/>
  <c r="M11" i="78"/>
  <c r="C5" i="43"/>
  <c r="Q52" i="15"/>
  <c r="U37" i="34"/>
  <c r="AB37" i="34"/>
  <c r="H112" i="34"/>
  <c r="I112" i="34" s="1"/>
  <c r="J112" i="34" s="1"/>
  <c r="K112" i="34" s="1"/>
  <c r="L112" i="34" s="1"/>
  <c r="M112" i="34" s="1"/>
  <c r="J37" i="34"/>
  <c r="F37" i="34"/>
  <c r="U40" i="34"/>
  <c r="AB40" i="34"/>
  <c r="AC40" i="34"/>
  <c r="W40" i="34"/>
  <c r="AC43" i="34"/>
  <c r="W43" i="34"/>
  <c r="AA43" i="34"/>
  <c r="S43" i="34"/>
  <c r="AB43" i="34"/>
  <c r="U43" i="34"/>
  <c r="C30" i="11"/>
  <c r="AQ6" i="1"/>
  <c r="AR6" i="1"/>
  <c r="T6" i="1"/>
  <c r="C29" i="68"/>
  <c r="D27" i="68" s="1"/>
  <c r="C47" i="68"/>
  <c r="D45" i="68" s="1"/>
  <c r="E58" i="40"/>
  <c r="E63" i="39"/>
  <c r="K24" i="6"/>
  <c r="M24" i="6" s="1"/>
  <c r="I24" i="6" s="1"/>
  <c r="S24" i="6" s="1"/>
  <c r="E31" i="6"/>
  <c r="K20" i="6"/>
  <c r="E57" i="40"/>
  <c r="E62" i="39"/>
  <c r="E16" i="6"/>
  <c r="D22" i="43"/>
  <c r="K21" i="6"/>
  <c r="K23" i="6"/>
  <c r="M23" i="6" s="1"/>
  <c r="I23" i="6" s="1"/>
  <c r="S23" i="6" s="1"/>
  <c r="K22" i="6"/>
  <c r="M22" i="6" s="1"/>
  <c r="I22" i="6" s="1"/>
  <c r="S22" i="6" s="1"/>
  <c r="K25" i="6"/>
  <c r="M25" i="6" s="1"/>
  <c r="I25" i="6" s="1"/>
  <c r="S25" i="6"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D3" i="37"/>
  <c r="D3" i="21"/>
  <c r="D19" i="11"/>
  <c r="C19" i="11" s="1"/>
  <c r="D14" i="12"/>
  <c r="D37" i="11"/>
  <c r="C37" i="11" s="1"/>
  <c r="M18" i="9"/>
  <c r="B118" i="9" s="1"/>
  <c r="B14" i="74" s="1"/>
  <c r="M19" i="6"/>
  <c r="K27" i="6"/>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1" i="73"/>
  <c r="E20" i="43"/>
  <c r="M28" i="43" s="1"/>
  <c r="D63" i="40"/>
  <c r="C65" i="40"/>
  <c r="D46" i="36"/>
  <c r="E46" i="36" s="1"/>
  <c r="F46" i="36" s="1"/>
  <c r="G46" i="36" s="1"/>
  <c r="H46" i="36" s="1"/>
  <c r="I46" i="36" s="1"/>
  <c r="J46" i="36" s="1"/>
  <c r="K46" i="36" s="1"/>
  <c r="L46" i="36" s="1"/>
  <c r="M46" i="36" s="1"/>
  <c r="N46" i="36" s="1"/>
  <c r="O46" i="36" s="1"/>
  <c r="F7" i="36"/>
  <c r="J10" i="39"/>
  <c r="F10" i="39"/>
  <c r="J10" i="40"/>
  <c r="H10" i="39"/>
  <c r="H10" i="40"/>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M29" i="81"/>
  <c r="C14" i="15"/>
  <c r="F41" i="15"/>
  <c r="F7" i="81"/>
  <c r="F43" i="81"/>
  <c r="F43" i="78"/>
  <c r="F7" i="78"/>
  <c r="G1" i="73"/>
  <c r="M29" i="78"/>
  <c r="F71" i="81" l="1"/>
  <c r="M7" i="81"/>
  <c r="J6" i="81" s="1"/>
  <c r="C6" i="81"/>
  <c r="F50" i="81"/>
  <c r="C49" i="81" s="1"/>
  <c r="E66" i="39"/>
  <c r="J10" i="81"/>
  <c r="J5" i="81" s="1"/>
  <c r="AC6" i="3"/>
  <c r="M8" i="1"/>
  <c r="H6" i="3"/>
  <c r="E6" i="3" s="1"/>
  <c r="M7" i="78"/>
  <c r="J6" i="78" s="1"/>
  <c r="F50" i="78"/>
  <c r="C49" i="78" s="1"/>
  <c r="C6" i="78"/>
  <c r="C10" i="78" s="1"/>
  <c r="C5" i="78" s="1"/>
  <c r="F71" i="78"/>
  <c r="C18" i="15"/>
  <c r="C15" i="15"/>
  <c r="J10" i="78"/>
  <c r="J5" i="78" s="1"/>
  <c r="J24" i="78" s="1"/>
  <c r="M7" i="1"/>
  <c r="C34" i="69"/>
  <c r="H16" i="1"/>
  <c r="K16" i="1"/>
  <c r="Q16" i="1"/>
  <c r="F69" i="15"/>
  <c r="F1" i="78"/>
  <c r="Q52" i="78"/>
  <c r="Q74" i="78"/>
  <c r="Q61" i="78"/>
  <c r="Q57" i="81"/>
  <c r="Q66" i="81"/>
  <c r="Q57" i="78"/>
  <c r="Q66" i="78"/>
  <c r="Q74" i="81"/>
  <c r="Q61" i="81"/>
  <c r="Q52" i="81"/>
  <c r="F1" i="81"/>
  <c r="G52" i="33"/>
  <c r="H52" i="33" s="1"/>
  <c r="G53" i="33"/>
  <c r="H53" i="33" s="1"/>
  <c r="Q73" i="81"/>
  <c r="Q60" i="81"/>
  <c r="J26" i="81"/>
  <c r="J24" i="81"/>
  <c r="J18" i="81"/>
  <c r="C53" i="81"/>
  <c r="C48" i="81" s="1"/>
  <c r="C10" i="81"/>
  <c r="C5" i="81" s="1"/>
  <c r="C53" i="78"/>
  <c r="J18" i="78"/>
  <c r="AC37" i="34"/>
  <c r="W37" i="34"/>
  <c r="AA37" i="34"/>
  <c r="S37" i="34"/>
  <c r="M21" i="6"/>
  <c r="I21" i="6" s="1"/>
  <c r="S8" i="1"/>
  <c r="M20" i="6"/>
  <c r="I20" i="6" s="1"/>
  <c r="S7" i="1"/>
  <c r="B2" i="33"/>
  <c r="B3" i="33" s="1"/>
  <c r="P28" i="43"/>
  <c r="C20" i="11"/>
  <c r="C15" i="12"/>
  <c r="C12" i="12"/>
  <c r="I19" i="6"/>
  <c r="L18" i="9" s="1"/>
  <c r="D17" i="12"/>
  <c r="C17" i="12" s="1"/>
  <c r="C14" i="12"/>
  <c r="D10" i="11"/>
  <c r="C10" i="11" s="1"/>
  <c r="D20" i="12"/>
  <c r="C20" i="12" s="1"/>
  <c r="C18" i="12" s="1"/>
  <c r="D10" i="69"/>
  <c r="H20" i="6"/>
  <c r="D25" i="6"/>
  <c r="D15" i="6"/>
  <c r="D22" i="6"/>
  <c r="D21" i="6"/>
  <c r="D24" i="6"/>
  <c r="D20" i="6"/>
  <c r="D6" i="6"/>
  <c r="D9" i="6"/>
  <c r="D10" i="6"/>
  <c r="D29" i="6"/>
  <c r="H25" i="6"/>
  <c r="H23" i="6"/>
  <c r="H26" i="6"/>
  <c r="H19" i="6"/>
  <c r="D19" i="6"/>
  <c r="M19" i="9" s="1"/>
  <c r="C118" i="9" s="1"/>
  <c r="C14" i="74" s="1"/>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B40" i="1"/>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AB10" i="40"/>
  <c r="W10" i="40"/>
  <c r="AC10" i="40"/>
  <c r="AC10" i="39"/>
  <c r="W10" i="39"/>
  <c r="J7" i="36"/>
  <c r="H7" i="36"/>
  <c r="D6" i="71"/>
  <c r="M20" i="43" s="1"/>
  <c r="C19" i="43" s="1"/>
  <c r="C19" i="67"/>
  <c r="C20" i="67" s="1"/>
  <c r="C26" i="67" s="1"/>
  <c r="J24" i="67"/>
  <c r="J26" i="67"/>
  <c r="J29" i="67" s="1"/>
  <c r="J18" i="67"/>
  <c r="C53" i="67"/>
  <c r="C48" i="67" s="1"/>
  <c r="C10" i="67"/>
  <c r="C5" i="67" s="1"/>
  <c r="J24" i="15"/>
  <c r="J18" i="15"/>
  <c r="J26" i="15"/>
  <c r="J29" i="15" s="1"/>
  <c r="C53" i="15"/>
  <c r="C48" i="15" s="1"/>
  <c r="C10" i="15"/>
  <c r="C5" i="15" s="1"/>
  <c r="C16" i="81"/>
  <c r="C17" i="81"/>
  <c r="C17" i="78"/>
  <c r="AE7" i="1"/>
  <c r="D10" i="80"/>
  <c r="D10" i="68"/>
  <c r="C16" i="78"/>
  <c r="AE8" i="1"/>
  <c r="C48" i="78" l="1"/>
  <c r="C60" i="78" s="1"/>
  <c r="J26" i="78"/>
  <c r="C19" i="15"/>
  <c r="C20" i="15" s="1"/>
  <c r="C26" i="15" s="1"/>
  <c r="D19" i="80"/>
  <c r="C10" i="80"/>
  <c r="L19" i="9"/>
  <c r="M19" i="77"/>
  <c r="C118" i="77" s="1"/>
  <c r="L19" i="77"/>
  <c r="C15" i="74" s="1"/>
  <c r="M19" i="79"/>
  <c r="C118" i="79" s="1"/>
  <c r="L19" i="79"/>
  <c r="C16" i="74" s="1"/>
  <c r="B2" i="74" s="1"/>
  <c r="S16" i="1"/>
  <c r="E8" i="70"/>
  <c r="C38" i="69"/>
  <c r="C35" i="69"/>
  <c r="E7" i="70"/>
  <c r="S20" i="6"/>
  <c r="L18" i="77"/>
  <c r="B15" i="74" s="1"/>
  <c r="S21" i="6"/>
  <c r="L18" i="79"/>
  <c r="B16" i="74" s="1"/>
  <c r="F27" i="69"/>
  <c r="F27" i="11"/>
  <c r="F28" i="12"/>
  <c r="C29" i="12" s="1"/>
  <c r="D28" i="12" s="1"/>
  <c r="M16" i="1"/>
  <c r="H7" i="34"/>
  <c r="AB7" i="34" s="1"/>
  <c r="F22" i="80"/>
  <c r="C26" i="80" s="1"/>
  <c r="D22" i="80" s="1"/>
  <c r="F24" i="81"/>
  <c r="C38" i="81"/>
  <c r="C33" i="81"/>
  <c r="C32" i="81"/>
  <c r="C66" i="81"/>
  <c r="C60" i="81"/>
  <c r="E41" i="43"/>
  <c r="C41" i="43" s="1"/>
  <c r="C39" i="43" s="1"/>
  <c r="C20" i="43"/>
  <c r="C37" i="43" s="1"/>
  <c r="F24" i="67"/>
  <c r="C24" i="67" s="1"/>
  <c r="F24" i="78"/>
  <c r="C38" i="78"/>
  <c r="C33" i="78"/>
  <c r="C32" i="78"/>
  <c r="C66" i="78"/>
  <c r="H27" i="6"/>
  <c r="M27" i="6"/>
  <c r="AQ7" i="1"/>
  <c r="AR7" i="1"/>
  <c r="T7" i="1"/>
  <c r="AQ8" i="1"/>
  <c r="AR8" i="1"/>
  <c r="T8" i="1"/>
  <c r="D30" i="6"/>
  <c r="D16" i="6"/>
  <c r="R26" i="6"/>
  <c r="R23" i="6"/>
  <c r="R22" i="6"/>
  <c r="R24" i="6"/>
  <c r="C4" i="52"/>
  <c r="B45" i="72" s="1"/>
  <c r="A10" i="51"/>
  <c r="B9" i="72" s="1"/>
  <c r="A7" i="51"/>
  <c r="B7" i="72" s="1"/>
  <c r="R19" i="6"/>
  <c r="D27" i="6"/>
  <c r="R25" i="6"/>
  <c r="R20" i="6"/>
  <c r="R7" i="1" s="1"/>
  <c r="R21" i="6"/>
  <c r="R8" i="1" s="1"/>
  <c r="C10" i="69"/>
  <c r="C8" i="69" s="1"/>
  <c r="C5" i="69" s="1"/>
  <c r="D19" i="69"/>
  <c r="C16" i="12"/>
  <c r="C21" i="12" s="1"/>
  <c r="C22" i="12" s="1"/>
  <c r="C30" i="12" s="1"/>
  <c r="C28" i="12" s="1"/>
  <c r="C10" i="68"/>
  <c r="D19" i="68"/>
  <c r="S19" i="6"/>
  <c r="S27" i="6" s="1"/>
  <c r="I27" i="6"/>
  <c r="F22" i="69"/>
  <c r="F24" i="15"/>
  <c r="C24" i="15" s="1"/>
  <c r="F22" i="68"/>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F25" i="12"/>
  <c r="F22" i="11"/>
  <c r="C44" i="11" s="1"/>
  <c r="D41" i="11" s="1"/>
  <c r="AC7" i="36"/>
  <c r="V36" i="36" s="1"/>
  <c r="I36" i="36" s="1"/>
  <c r="W7" i="36"/>
  <c r="S7" i="34"/>
  <c r="AA7" i="34"/>
  <c r="W7" i="35"/>
  <c r="AC7" i="35"/>
  <c r="V38" i="35" s="1"/>
  <c r="I38" i="35" s="1"/>
  <c r="R43" i="37"/>
  <c r="E42" i="37"/>
  <c r="G68" i="39"/>
  <c r="F70" i="39"/>
  <c r="F7" i="21"/>
  <c r="W7" i="34"/>
  <c r="AC7" i="34"/>
  <c r="I47" i="37"/>
  <c r="J47" i="37" s="1"/>
  <c r="I46" i="37"/>
  <c r="J46" i="37" s="1"/>
  <c r="G46" i="37"/>
  <c r="H46" i="37" s="1"/>
  <c r="G47" i="37"/>
  <c r="H47" i="37" s="1"/>
  <c r="C38" i="43"/>
  <c r="C38" i="15"/>
  <c r="C32" i="15"/>
  <c r="C66" i="15"/>
  <c r="C60" i="15"/>
  <c r="C60" i="67"/>
  <c r="C66" i="67"/>
  <c r="C38" i="67"/>
  <c r="C32" i="67"/>
  <c r="C34" i="80"/>
  <c r="C14" i="78"/>
  <c r="F41" i="78"/>
  <c r="M21" i="81"/>
  <c r="C14" i="81"/>
  <c r="F35" i="81"/>
  <c r="F41" i="81"/>
  <c r="C34" i="68"/>
  <c r="C35" i="68" l="1"/>
  <c r="C38" i="68"/>
  <c r="C15" i="78"/>
  <c r="C18" i="78"/>
  <c r="C19" i="78"/>
  <c r="C20" i="78" s="1"/>
  <c r="C26" i="78" s="1"/>
  <c r="C15" i="81"/>
  <c r="C18" i="81"/>
  <c r="C19" i="81" s="1"/>
  <c r="C38" i="80"/>
  <c r="C35" i="80"/>
  <c r="D7" i="74"/>
  <c r="D8" i="74"/>
  <c r="N16" i="1"/>
  <c r="L16" i="1"/>
  <c r="C34" i="11"/>
  <c r="C47" i="11"/>
  <c r="D45" i="11" s="1"/>
  <c r="C29" i="11"/>
  <c r="D27" i="11" s="1"/>
  <c r="B1" i="74"/>
  <c r="E2" i="70"/>
  <c r="C47" i="69"/>
  <c r="D45" i="69" s="1"/>
  <c r="C29" i="69"/>
  <c r="D27" i="69" s="1"/>
  <c r="C28" i="11"/>
  <c r="C27" i="11" s="1"/>
  <c r="D37" i="80"/>
  <c r="C37" i="80" s="1"/>
  <c r="C19" i="80"/>
  <c r="C24" i="80" s="1"/>
  <c r="F69" i="81"/>
  <c r="J29" i="81"/>
  <c r="J29" i="78"/>
  <c r="F69" i="78"/>
  <c r="C33" i="43"/>
  <c r="T9" i="43"/>
  <c r="V9" i="43" s="1"/>
  <c r="T11" i="43"/>
  <c r="V11" i="43" s="1"/>
  <c r="T16" i="43"/>
  <c r="V16" i="43" s="1"/>
  <c r="T12" i="43"/>
  <c r="V12" i="43" s="1"/>
  <c r="T4" i="43"/>
  <c r="V4" i="43" s="1"/>
  <c r="C44" i="80"/>
  <c r="D41" i="80" s="1"/>
  <c r="J20" i="81"/>
  <c r="F63" i="81"/>
  <c r="C62" i="81" s="1"/>
  <c r="C34" i="81"/>
  <c r="C31" i="81" s="1"/>
  <c r="C24" i="81"/>
  <c r="T15" i="43"/>
  <c r="V15" i="43" s="1"/>
  <c r="T7" i="43"/>
  <c r="V7" i="43" s="1"/>
  <c r="T10" i="43"/>
  <c r="V10" i="43" s="1"/>
  <c r="C34" i="43"/>
  <c r="G34" i="43" s="1"/>
  <c r="I34" i="43" s="1"/>
  <c r="T14" i="43"/>
  <c r="V14" i="43" s="1"/>
  <c r="C23" i="67"/>
  <c r="C29" i="67" s="1"/>
  <c r="J14" i="67" s="1"/>
  <c r="T3" i="43"/>
  <c r="V3" i="43" s="1"/>
  <c r="T6" i="43"/>
  <c r="V6" i="43" s="1"/>
  <c r="T5" i="43"/>
  <c r="V5" i="43" s="1"/>
  <c r="C29" i="43"/>
  <c r="E29" i="43" s="1"/>
  <c r="T2" i="43"/>
  <c r="V2" i="43" s="1"/>
  <c r="C36" i="43"/>
  <c r="G36" i="43" s="1"/>
  <c r="I36" i="43" s="1"/>
  <c r="T8" i="43"/>
  <c r="V8" i="43" s="1"/>
  <c r="C35" i="43"/>
  <c r="G35" i="43" s="1"/>
  <c r="I35" i="43" s="1"/>
  <c r="T13" i="43"/>
  <c r="V13" i="43" s="1"/>
  <c r="C24" i="78"/>
  <c r="C27" i="12"/>
  <c r="C25" i="12" s="1"/>
  <c r="T16" i="1"/>
  <c r="R27" i="6"/>
  <c r="R6" i="1"/>
  <c r="D31" i="6"/>
  <c r="I5" i="6" s="1"/>
  <c r="C19" i="68"/>
  <c r="D37" i="68"/>
  <c r="C37" i="68" s="1"/>
  <c r="C33" i="68" s="1"/>
  <c r="C42" i="68" s="1"/>
  <c r="C23" i="69"/>
  <c r="C19" i="69"/>
  <c r="C20" i="69" s="1"/>
  <c r="D37" i="69"/>
  <c r="C37" i="69" s="1"/>
  <c r="C33" i="69" s="1"/>
  <c r="C39" i="69" s="1"/>
  <c r="I6" i="6"/>
  <c r="C11" i="34" s="1"/>
  <c r="C23" i="11"/>
  <c r="C44" i="69"/>
  <c r="D41" i="69" s="1"/>
  <c r="C25" i="11"/>
  <c r="C44" i="68"/>
  <c r="D41" i="68" s="1"/>
  <c r="C26" i="12"/>
  <c r="D25" i="12" s="1"/>
  <c r="C26" i="69"/>
  <c r="D22" i="69" s="1"/>
  <c r="C26" i="11"/>
  <c r="D22" i="11" s="1"/>
  <c r="C26" i="68"/>
  <c r="D22" i="68" s="1"/>
  <c r="C24" i="11"/>
  <c r="C23" i="15"/>
  <c r="C29" i="15" s="1"/>
  <c r="J19" i="15" s="1"/>
  <c r="E47" i="37"/>
  <c r="F47" i="37" s="1"/>
  <c r="E46" i="37"/>
  <c r="F46" i="37" s="1"/>
  <c r="I42" i="35"/>
  <c r="J42" i="35" s="1"/>
  <c r="E40" i="36"/>
  <c r="F40" i="36" s="1"/>
  <c r="E41" i="36"/>
  <c r="F41" i="36" s="1"/>
  <c r="G63" i="40"/>
  <c r="F65" i="40"/>
  <c r="R39" i="35"/>
  <c r="E38" i="35"/>
  <c r="I43" i="35" s="1"/>
  <c r="J43" i="35" s="1"/>
  <c r="G52" i="21"/>
  <c r="H52" i="21" s="1"/>
  <c r="G53" i="21"/>
  <c r="H53" i="21" s="1"/>
  <c r="G40" i="36"/>
  <c r="H40" i="36" s="1"/>
  <c r="G41" i="36"/>
  <c r="H41" i="36" s="1"/>
  <c r="S7" i="21"/>
  <c r="AA7" i="21"/>
  <c r="R48" i="21" s="1"/>
  <c r="H68" i="39"/>
  <c r="G70" i="39"/>
  <c r="C43" i="37"/>
  <c r="B2" i="37" s="1"/>
  <c r="B3" i="37" s="1"/>
  <c r="C42" i="37"/>
  <c r="I40" i="36"/>
  <c r="J40" i="36" s="1"/>
  <c r="I41" i="36"/>
  <c r="J41" i="36" s="1"/>
  <c r="G42" i="35"/>
  <c r="H42" i="35" s="1"/>
  <c r="G43" i="35"/>
  <c r="H43" i="35" s="1"/>
  <c r="I52" i="21"/>
  <c r="J52" i="21" s="1"/>
  <c r="C37" i="36"/>
  <c r="B2" i="36" s="1"/>
  <c r="B3" i="36" s="1"/>
  <c r="C36" i="36"/>
  <c r="G33" i="43"/>
  <c r="I33" i="43" s="1"/>
  <c r="E33" i="43"/>
  <c r="E34" i="43"/>
  <c r="G39" i="43"/>
  <c r="I39" i="43" s="1"/>
  <c r="E39" i="43"/>
  <c r="C6" i="80" s="1"/>
  <c r="E38" i="43"/>
  <c r="G38" i="43"/>
  <c r="I38" i="43" s="1"/>
  <c r="G37" i="43"/>
  <c r="I37" i="43" s="1"/>
  <c r="E37" i="43"/>
  <c r="C57" i="67"/>
  <c r="Q49" i="67"/>
  <c r="J59" i="67"/>
  <c r="J60" i="67" s="1"/>
  <c r="F35" i="78"/>
  <c r="M21" i="78"/>
  <c r="M21" i="15"/>
  <c r="F35" i="15"/>
  <c r="C23" i="78" l="1"/>
  <c r="C29" i="78" s="1"/>
  <c r="C33" i="80"/>
  <c r="C42" i="80" s="1"/>
  <c r="C20" i="81"/>
  <c r="C26" i="81" s="1"/>
  <c r="C39" i="80"/>
  <c r="C43" i="80" s="1"/>
  <c r="C35" i="11"/>
  <c r="C38" i="11"/>
  <c r="C33" i="11"/>
  <c r="F50" i="80"/>
  <c r="F50" i="11"/>
  <c r="F50" i="68"/>
  <c r="F50" i="69"/>
  <c r="F11" i="34"/>
  <c r="H11" i="34"/>
  <c r="J11" i="34"/>
  <c r="C8" i="74"/>
  <c r="C7" i="74"/>
  <c r="C36" i="67"/>
  <c r="J19" i="67"/>
  <c r="J17" i="67" s="1"/>
  <c r="C33" i="67"/>
  <c r="C31" i="67" s="1"/>
  <c r="C13" i="67"/>
  <c r="C37" i="67" s="1"/>
  <c r="E36" i="43"/>
  <c r="C41" i="80"/>
  <c r="E35" i="43"/>
  <c r="C26" i="43" s="1"/>
  <c r="B2" i="43" s="1"/>
  <c r="C30" i="43"/>
  <c r="E30" i="43" s="1"/>
  <c r="C27" i="43" s="1"/>
  <c r="C6" i="68"/>
  <c r="C7" i="68" s="1"/>
  <c r="C5" i="68" s="1"/>
  <c r="C23" i="68" s="1"/>
  <c r="F63" i="78"/>
  <c r="C62" i="78" s="1"/>
  <c r="C34" i="78"/>
  <c r="C31" i="78" s="1"/>
  <c r="J20" i="78"/>
  <c r="J20" i="15"/>
  <c r="J17" i="15" s="1"/>
  <c r="C34" i="15"/>
  <c r="F63" i="15"/>
  <c r="C62" i="15" s="1"/>
  <c r="R16" i="1"/>
  <c r="C42" i="69"/>
  <c r="C32" i="12"/>
  <c r="B2" i="12" s="1"/>
  <c r="B3" i="12" s="1"/>
  <c r="C22" i="11"/>
  <c r="C31" i="11" s="1"/>
  <c r="C24" i="68"/>
  <c r="C24" i="69"/>
  <c r="J59" i="15"/>
  <c r="J60" i="15" s="1"/>
  <c r="C36" i="15"/>
  <c r="C28" i="69"/>
  <c r="C27" i="69" s="1"/>
  <c r="C25" i="69"/>
  <c r="C46" i="69"/>
  <c r="C45" i="69" s="1"/>
  <c r="C43" i="69"/>
  <c r="C39" i="68"/>
  <c r="C43" i="68" s="1"/>
  <c r="C41" i="68" s="1"/>
  <c r="J14" i="15"/>
  <c r="J13" i="15" s="1"/>
  <c r="J23" i="15" s="1"/>
  <c r="Q49" i="15"/>
  <c r="C13" i="15"/>
  <c r="Q70" i="15" s="1"/>
  <c r="C57" i="15"/>
  <c r="C61" i="15" s="1"/>
  <c r="C33" i="15"/>
  <c r="R49" i="21"/>
  <c r="E48" i="21"/>
  <c r="E43" i="35"/>
  <c r="F43" i="35" s="1"/>
  <c r="E42" i="35"/>
  <c r="F42" i="35" s="1"/>
  <c r="I68" i="39"/>
  <c r="H70" i="39"/>
  <c r="C39" i="35"/>
  <c r="B2" i="35" s="1"/>
  <c r="B3" i="35" s="1"/>
  <c r="C38" i="35"/>
  <c r="H63" i="40"/>
  <c r="G65" i="40"/>
  <c r="Q48" i="67"/>
  <c r="L46" i="67"/>
  <c r="J13" i="67"/>
  <c r="J23" i="67" s="1"/>
  <c r="J22" i="67"/>
  <c r="C61" i="67"/>
  <c r="C59" i="67" s="1"/>
  <c r="C64" i="67"/>
  <c r="B6" i="76"/>
  <c r="E6" i="76"/>
  <c r="C36" i="78" l="1"/>
  <c r="C57" i="78"/>
  <c r="C49" i="80"/>
  <c r="C51" i="80" s="1"/>
  <c r="AC11" i="34"/>
  <c r="V49" i="34" s="1"/>
  <c r="I49" i="34" s="1"/>
  <c r="I53" i="34" s="1"/>
  <c r="J53" i="34" s="1"/>
  <c r="W11" i="34"/>
  <c r="S11" i="34"/>
  <c r="AA11" i="34"/>
  <c r="R49" i="34" s="1"/>
  <c r="C46" i="80"/>
  <c r="C45" i="80" s="1"/>
  <c r="C23" i="81"/>
  <c r="C29" i="81" s="1"/>
  <c r="C57" i="81" s="1"/>
  <c r="C61" i="81" s="1"/>
  <c r="C59" i="81" s="1"/>
  <c r="AB11" i="34"/>
  <c r="T49" i="34" s="1"/>
  <c r="G49" i="34" s="1"/>
  <c r="U11" i="34"/>
  <c r="C39" i="11"/>
  <c r="C42" i="11"/>
  <c r="C30" i="67"/>
  <c r="C39" i="67" s="1"/>
  <c r="C40" i="67" s="1"/>
  <c r="Q70" i="67"/>
  <c r="C75" i="67"/>
  <c r="J14" i="81"/>
  <c r="J13" i="81" s="1"/>
  <c r="J23" i="81" s="1"/>
  <c r="C56" i="67"/>
  <c r="C65" i="67" s="1"/>
  <c r="C58" i="67" s="1"/>
  <c r="C67" i="67" s="1"/>
  <c r="C68" i="67" s="1"/>
  <c r="Q49" i="81"/>
  <c r="C20" i="68"/>
  <c r="C28" i="68" s="1"/>
  <c r="C27" i="68" s="1"/>
  <c r="C7" i="80"/>
  <c r="C5" i="80" s="1"/>
  <c r="C41" i="69"/>
  <c r="C49" i="69" s="1"/>
  <c r="C51" i="69" s="1"/>
  <c r="C13" i="78"/>
  <c r="C75" i="78" s="1"/>
  <c r="J59" i="78"/>
  <c r="J60" i="78" s="1"/>
  <c r="Q48" i="78" s="1"/>
  <c r="J19" i="78"/>
  <c r="J17" i="78" s="1"/>
  <c r="C31" i="15"/>
  <c r="Q49" i="78"/>
  <c r="J14" i="78"/>
  <c r="J13" i="78" s="1"/>
  <c r="J23" i="78" s="1"/>
  <c r="C64" i="78"/>
  <c r="C61" i="78"/>
  <c r="C59" i="78" s="1"/>
  <c r="C59" i="15"/>
  <c r="C64" i="15"/>
  <c r="Q48" i="15"/>
  <c r="C22" i="69"/>
  <c r="C31" i="69" s="1"/>
  <c r="C56" i="15"/>
  <c r="C65" i="15" s="1"/>
  <c r="C46" i="68"/>
  <c r="C45" i="68" s="1"/>
  <c r="C49" i="68" s="1"/>
  <c r="C51" i="68" s="1"/>
  <c r="C75" i="15"/>
  <c r="J22" i="15"/>
  <c r="J16" i="15" s="1"/>
  <c r="J25" i="15" s="1"/>
  <c r="C37" i="15"/>
  <c r="C48" i="21"/>
  <c r="C49" i="21"/>
  <c r="B2" i="21" s="1"/>
  <c r="B3" i="21" s="1"/>
  <c r="I63" i="40"/>
  <c r="H65" i="40"/>
  <c r="J68" i="39"/>
  <c r="I70" i="39"/>
  <c r="E52" i="21"/>
  <c r="F52" i="21" s="1"/>
  <c r="E53" i="21"/>
  <c r="F53" i="21" s="1"/>
  <c r="I53" i="21"/>
  <c r="J53" i="21" s="1"/>
  <c r="E2" i="76"/>
  <c r="B2" i="76"/>
  <c r="B3" i="43"/>
  <c r="J16" i="67"/>
  <c r="J25" i="67" s="1"/>
  <c r="L51" i="67"/>
  <c r="J19" i="81" l="1"/>
  <c r="J17" i="81" s="1"/>
  <c r="C64" i="81"/>
  <c r="J59" i="81"/>
  <c r="J60" i="81" s="1"/>
  <c r="Q48" i="81" s="1"/>
  <c r="C13" i="81"/>
  <c r="C37" i="81" s="1"/>
  <c r="C36" i="81"/>
  <c r="C46" i="11"/>
  <c r="C45" i="11" s="1"/>
  <c r="C43" i="11"/>
  <c r="C41" i="11" s="1"/>
  <c r="C49" i="11" s="1"/>
  <c r="C51" i="11" s="1"/>
  <c r="C52" i="11" s="1"/>
  <c r="B2" i="11" s="1"/>
  <c r="B3" i="11" s="1"/>
  <c r="G54" i="34"/>
  <c r="H54" i="34" s="1"/>
  <c r="G53" i="34"/>
  <c r="H53" i="34" s="1"/>
  <c r="E49" i="34"/>
  <c r="R50" i="34"/>
  <c r="C80" i="67"/>
  <c r="C79" i="67" s="1"/>
  <c r="Q69" i="67"/>
  <c r="Q68" i="67" s="1"/>
  <c r="J22" i="81"/>
  <c r="C56" i="81"/>
  <c r="C65" i="81" s="1"/>
  <c r="C58" i="81" s="1"/>
  <c r="C67" i="81" s="1"/>
  <c r="C68" i="81" s="1"/>
  <c r="C25" i="68"/>
  <c r="C22" i="68" s="1"/>
  <c r="C31" i="68" s="1"/>
  <c r="C52" i="68" s="1"/>
  <c r="B2" i="68" s="1"/>
  <c r="C23" i="80"/>
  <c r="C20" i="80"/>
  <c r="C25" i="80" s="1"/>
  <c r="L46" i="78"/>
  <c r="C56" i="78"/>
  <c r="C65" i="78" s="1"/>
  <c r="C58" i="78" s="1"/>
  <c r="C67" i="78" s="1"/>
  <c r="C68" i="78" s="1"/>
  <c r="Q70" i="78"/>
  <c r="C37" i="78"/>
  <c r="C30" i="78" s="1"/>
  <c r="C39" i="78" s="1"/>
  <c r="C80" i="78" s="1"/>
  <c r="C79" i="78" s="1"/>
  <c r="C30" i="15"/>
  <c r="C39" i="15" s="1"/>
  <c r="Q69" i="15" s="1"/>
  <c r="Q68" i="15" s="1"/>
  <c r="J22" i="78"/>
  <c r="J16" i="78" s="1"/>
  <c r="J25" i="78" s="1"/>
  <c r="C58" i="15"/>
  <c r="C67" i="15" s="1"/>
  <c r="C68" i="15" s="1"/>
  <c r="C71" i="15" s="1"/>
  <c r="C52" i="69"/>
  <c r="B2" i="69" s="1"/>
  <c r="B3" i="69" s="1"/>
  <c r="K68" i="39"/>
  <c r="J70" i="39"/>
  <c r="J63" i="40"/>
  <c r="I65" i="40"/>
  <c r="B3" i="76"/>
  <c r="Q67" i="67"/>
  <c r="L57" i="67"/>
  <c r="L60" i="67" s="1"/>
  <c r="L57" i="15"/>
  <c r="L60" i="15" s="1"/>
  <c r="L46" i="15" s="1"/>
  <c r="C71" i="67"/>
  <c r="C45" i="67"/>
  <c r="C46" i="67" s="1"/>
  <c r="Q56" i="67"/>
  <c r="Q47" i="67"/>
  <c r="Q53" i="67" s="1"/>
  <c r="Q65" i="67"/>
  <c r="C43" i="67"/>
  <c r="D2" i="67"/>
  <c r="C83" i="67"/>
  <c r="C82" i="67" s="1"/>
  <c r="L51" i="78"/>
  <c r="C19" i="77"/>
  <c r="B3" i="68"/>
  <c r="J16" i="81" l="1"/>
  <c r="J25" i="81" s="1"/>
  <c r="L46" i="81"/>
  <c r="C30" i="81"/>
  <c r="C39" i="81" s="1"/>
  <c r="Q69" i="81" s="1"/>
  <c r="C56" i="11"/>
  <c r="C57" i="11" s="1"/>
  <c r="C40" i="81"/>
  <c r="Q47" i="81" s="1"/>
  <c r="Q53" i="81" s="1"/>
  <c r="C49" i="34"/>
  <c r="C50" i="34"/>
  <c r="I54" i="34"/>
  <c r="J54" i="34" s="1"/>
  <c r="E53" i="34"/>
  <c r="F53" i="34" s="1"/>
  <c r="E54" i="34"/>
  <c r="F54" i="34" s="1"/>
  <c r="Q70" i="81"/>
  <c r="C75" i="81"/>
  <c r="C28" i="80"/>
  <c r="C27" i="80" s="1"/>
  <c r="C22" i="80"/>
  <c r="B2" i="81"/>
  <c r="C71" i="81"/>
  <c r="C102" i="77"/>
  <c r="C21" i="77"/>
  <c r="C80" i="15"/>
  <c r="C79" i="15" s="1"/>
  <c r="Q69" i="78"/>
  <c r="Q68" i="78" s="1"/>
  <c r="C40" i="78"/>
  <c r="B2" i="78" s="1"/>
  <c r="C40" i="15"/>
  <c r="Q67" i="78"/>
  <c r="C71" i="78"/>
  <c r="C57" i="69"/>
  <c r="C56" i="69" s="1"/>
  <c r="C57" i="68"/>
  <c r="J65" i="40"/>
  <c r="K63" i="40"/>
  <c r="L68" i="39"/>
  <c r="K70" i="39"/>
  <c r="Q57" i="15"/>
  <c r="Q66" i="15"/>
  <c r="Q66" i="67"/>
  <c r="Q75" i="67" s="1"/>
  <c r="Q57" i="67"/>
  <c r="Q62" i="67" s="1"/>
  <c r="B2" i="67"/>
  <c r="B3" i="67"/>
  <c r="AO8" i="1"/>
  <c r="L51" i="81"/>
  <c r="D35" i="77"/>
  <c r="D19" i="79"/>
  <c r="C20" i="77"/>
  <c r="AO7" i="1"/>
  <c r="L51" i="15"/>
  <c r="C46" i="81" l="1"/>
  <c r="C83" i="81"/>
  <c r="C82" i="81" s="1"/>
  <c r="C80" i="81"/>
  <c r="C79" i="81" s="1"/>
  <c r="Q56" i="81"/>
  <c r="Q62" i="81" s="1"/>
  <c r="C43" i="81"/>
  <c r="Q65" i="81"/>
  <c r="Q75" i="81" s="1"/>
  <c r="B2" i="34"/>
  <c r="B3" i="34" s="1"/>
  <c r="R24" i="31"/>
  <c r="Q68" i="81"/>
  <c r="Q67" i="15"/>
  <c r="Q47" i="78"/>
  <c r="Q53" i="78" s="1"/>
  <c r="C56" i="68"/>
  <c r="C103" i="77"/>
  <c r="Q67" i="81"/>
  <c r="C31" i="80"/>
  <c r="C52" i="80" s="1"/>
  <c r="B2" i="80" s="1"/>
  <c r="B8" i="70"/>
  <c r="B3" i="81"/>
  <c r="D21" i="79"/>
  <c r="D102" i="79"/>
  <c r="B7" i="70"/>
  <c r="B3" i="78"/>
  <c r="C43" i="78"/>
  <c r="Q65" i="78"/>
  <c r="Q75" i="78" s="1"/>
  <c r="C46" i="78"/>
  <c r="C83" i="78"/>
  <c r="C82" i="78" s="1"/>
  <c r="Q56" i="78"/>
  <c r="Q62" i="78" s="1"/>
  <c r="C43" i="15"/>
  <c r="B2" i="15"/>
  <c r="Q47" i="15"/>
  <c r="Q53" i="15" s="1"/>
  <c r="C83" i="15"/>
  <c r="C82" i="15" s="1"/>
  <c r="Q65" i="15"/>
  <c r="Q75" i="15" s="1"/>
  <c r="Q56" i="15"/>
  <c r="Q62" i="15" s="1"/>
  <c r="C46" i="15"/>
  <c r="M68" i="39"/>
  <c r="L70" i="39"/>
  <c r="L63" i="40"/>
  <c r="K65" i="40"/>
  <c r="D34" i="77"/>
  <c r="D19" i="9"/>
  <c r="D19" i="77"/>
  <c r="C19" i="79"/>
  <c r="AO6" i="1"/>
  <c r="B3" i="80"/>
  <c r="D20" i="79"/>
  <c r="R26" i="31" l="1"/>
  <c r="S26" i="31" s="1"/>
  <c r="S24" i="31"/>
  <c r="R25" i="31"/>
  <c r="S25" i="31" s="1"/>
  <c r="C57" i="80"/>
  <c r="C102" i="79"/>
  <c r="G19" i="79"/>
  <c r="G16" i="74" s="1"/>
  <c r="C21" i="79"/>
  <c r="D22" i="79"/>
  <c r="D103" i="79"/>
  <c r="C32" i="79"/>
  <c r="D102" i="77"/>
  <c r="G19" i="77"/>
  <c r="D21" i="77"/>
  <c r="D22" i="77"/>
  <c r="B6" i="70"/>
  <c r="B2" i="70" s="1"/>
  <c r="B3" i="70" s="1"/>
  <c r="D102" i="9"/>
  <c r="D21" i="9"/>
  <c r="B3" i="15"/>
  <c r="L65" i="40"/>
  <c r="M63" i="40"/>
  <c r="N68" i="39"/>
  <c r="M70" i="39"/>
  <c r="D35" i="79"/>
  <c r="D34" i="9"/>
  <c r="D20" i="9"/>
  <c r="D20" i="77"/>
  <c r="D35" i="9"/>
  <c r="C20" i="79"/>
  <c r="S22" i="31" l="1"/>
  <c r="C56" i="80"/>
  <c r="C103" i="79"/>
  <c r="G20" i="79"/>
  <c r="G21" i="79"/>
  <c r="D16" i="74"/>
  <c r="D15" i="74"/>
  <c r="E15" i="74" s="1"/>
  <c r="G15" i="74"/>
  <c r="F15" i="74"/>
  <c r="C35" i="79"/>
  <c r="F118" i="79" s="1"/>
  <c r="H118" i="79"/>
  <c r="D103" i="77"/>
  <c r="G20" i="77"/>
  <c r="D103" i="9"/>
  <c r="C32" i="77"/>
  <c r="G21" i="77"/>
  <c r="O68" i="39"/>
  <c r="O70" i="39" s="1"/>
  <c r="N70" i="39"/>
  <c r="M65" i="40"/>
  <c r="N63" i="40"/>
  <c r="D34" i="79"/>
  <c r="B20" i="31" l="1"/>
  <c r="R22" i="31"/>
  <c r="B21" i="31" s="1"/>
  <c r="F16" i="74"/>
  <c r="E16" i="74"/>
  <c r="C34" i="79"/>
  <c r="D118" i="79" s="1"/>
  <c r="D119" i="79" s="1"/>
  <c r="I118" i="79"/>
  <c r="C104" i="79"/>
  <c r="H119" i="79"/>
  <c r="H101" i="79"/>
  <c r="F119" i="79"/>
  <c r="G118" i="79"/>
  <c r="H118" i="77"/>
  <c r="C35" i="77"/>
  <c r="J7" i="39"/>
  <c r="H7" i="39"/>
  <c r="F7" i="39"/>
  <c r="O63" i="40"/>
  <c r="O65" i="40" s="1"/>
  <c r="N65" i="40"/>
  <c r="C19" i="9"/>
  <c r="C20" i="9"/>
  <c r="C103" i="9" l="1"/>
  <c r="G20" i="9"/>
  <c r="C102" i="9"/>
  <c r="C21" i="9"/>
  <c r="D22" i="9"/>
  <c r="G19" i="9"/>
  <c r="E118" i="79"/>
  <c r="C105" i="79"/>
  <c r="H102" i="79"/>
  <c r="D45" i="79"/>
  <c r="M48" i="79"/>
  <c r="H107" i="79"/>
  <c r="I118" i="77"/>
  <c r="H119" i="77"/>
  <c r="C104" i="77"/>
  <c r="H101" i="77"/>
  <c r="F118" i="77"/>
  <c r="C34" i="77"/>
  <c r="D118" i="77" s="1"/>
  <c r="D119" i="77" s="1"/>
  <c r="S7" i="39"/>
  <c r="AA7" i="39"/>
  <c r="R47" i="39" s="1"/>
  <c r="AC7" i="39"/>
  <c r="V47" i="39" s="1"/>
  <c r="I47" i="39" s="1"/>
  <c r="W7" i="39"/>
  <c r="J7" i="40"/>
  <c r="H7" i="40"/>
  <c r="F7" i="40"/>
  <c r="AB7" i="39"/>
  <c r="T47" i="39" s="1"/>
  <c r="G47" i="39" s="1"/>
  <c r="U7" i="39"/>
  <c r="C32" i="9" l="1"/>
  <c r="G21" i="9"/>
  <c r="D122" i="79"/>
  <c r="D123" i="79" s="1"/>
  <c r="H108" i="79"/>
  <c r="M49" i="79"/>
  <c r="C78" i="79"/>
  <c r="C73" i="79" s="1"/>
  <c r="D52" i="79"/>
  <c r="C93" i="79"/>
  <c r="C86" i="79" s="1"/>
  <c r="C85" i="79"/>
  <c r="C72" i="79"/>
  <c r="C79" i="79" s="1"/>
  <c r="C64" i="79"/>
  <c r="C63" i="79" s="1"/>
  <c r="C67" i="79" s="1"/>
  <c r="C68" i="79" s="1"/>
  <c r="D54" i="79" s="1"/>
  <c r="D55" i="79"/>
  <c r="M53" i="79" s="1"/>
  <c r="D53" i="79"/>
  <c r="G118" i="77"/>
  <c r="F119" i="77"/>
  <c r="D45" i="77"/>
  <c r="H107" i="77"/>
  <c r="M48" i="77"/>
  <c r="E118" i="77"/>
  <c r="H102" i="77"/>
  <c r="C105" i="77"/>
  <c r="G52" i="39"/>
  <c r="H52" i="39" s="1"/>
  <c r="G51" i="39"/>
  <c r="H51" i="39" s="1"/>
  <c r="U7" i="40"/>
  <c r="AB7" i="40"/>
  <c r="T42" i="40" s="1"/>
  <c r="G42" i="40" s="1"/>
  <c r="E47" i="39"/>
  <c r="R48" i="39"/>
  <c r="S7" i="40"/>
  <c r="AA7" i="40"/>
  <c r="R42" i="40" s="1"/>
  <c r="W7" i="40"/>
  <c r="AC7" i="40"/>
  <c r="V42" i="40" s="1"/>
  <c r="I42" i="40" s="1"/>
  <c r="I51" i="39"/>
  <c r="J51" i="39" s="1"/>
  <c r="C35" i="9" l="1"/>
  <c r="F118" i="9" s="1"/>
  <c r="H118" i="9"/>
  <c r="C34" i="9"/>
  <c r="D118" i="9" s="1"/>
  <c r="C95" i="79"/>
  <c r="C80" i="79"/>
  <c r="E80" i="79" s="1"/>
  <c r="E81" i="79" s="1"/>
  <c r="C96" i="79"/>
  <c r="E96" i="79" s="1"/>
  <c r="E97" i="79" s="1"/>
  <c r="L66" i="79"/>
  <c r="M66" i="79" s="1"/>
  <c r="L65" i="79"/>
  <c r="M65" i="79" s="1"/>
  <c r="L64" i="79"/>
  <c r="M64" i="79" s="1"/>
  <c r="L68" i="79"/>
  <c r="M68" i="79" s="1"/>
  <c r="L67" i="79"/>
  <c r="M67" i="79" s="1"/>
  <c r="L63" i="79"/>
  <c r="M63" i="79" s="1"/>
  <c r="D122" i="77"/>
  <c r="D123" i="77" s="1"/>
  <c r="M49" i="77"/>
  <c r="H108" i="77"/>
  <c r="C78" i="77"/>
  <c r="C73" i="77" s="1"/>
  <c r="C93" i="77"/>
  <c r="C86" i="77" s="1"/>
  <c r="C72" i="77"/>
  <c r="D55" i="77"/>
  <c r="M53" i="77" s="1"/>
  <c r="D52" i="77"/>
  <c r="C85" i="77"/>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D14" i="74" l="1"/>
  <c r="I118" i="9"/>
  <c r="H119" i="9"/>
  <c r="H5" i="52" s="1"/>
  <c r="H101" i="9"/>
  <c r="C104" i="9"/>
  <c r="H4" i="52"/>
  <c r="D4" i="52"/>
  <c r="B47" i="72" s="1"/>
  <c r="D119" i="9"/>
  <c r="D5" i="52" s="1"/>
  <c r="B49" i="72" s="1"/>
  <c r="F119" i="9"/>
  <c r="F5" i="52" s="1"/>
  <c r="B53" i="72" s="1"/>
  <c r="F4" i="52"/>
  <c r="B51" i="72" s="1"/>
  <c r="G118" i="9"/>
  <c r="G4" i="52" s="1"/>
  <c r="B52" i="72" s="1"/>
  <c r="C95" i="77"/>
  <c r="C96" i="77" s="1"/>
  <c r="E96" i="77" s="1"/>
  <c r="E97" i="77" s="1"/>
  <c r="C79" i="77"/>
  <c r="M69" i="79"/>
  <c r="N69" i="79" s="1"/>
  <c r="C97" i="79"/>
  <c r="D58" i="79" s="1"/>
  <c r="D56" i="79" s="1"/>
  <c r="M54" i="79" s="1"/>
  <c r="N57" i="79" s="1"/>
  <c r="C81" i="79"/>
  <c r="C97" i="77"/>
  <c r="D58" i="77" s="1"/>
  <c r="D56" i="77" s="1"/>
  <c r="M54" i="77" s="1"/>
  <c r="N57" i="77" s="1"/>
  <c r="P57" i="77" s="1"/>
  <c r="L66" i="77"/>
  <c r="M66" i="77" s="1"/>
  <c r="L64" i="77"/>
  <c r="M64" i="77" s="1"/>
  <c r="L67" i="77"/>
  <c r="M67" i="77" s="1"/>
  <c r="L65" i="77"/>
  <c r="M65" i="77" s="1"/>
  <c r="L68" i="77"/>
  <c r="M68" i="77" s="1"/>
  <c r="L63" i="77"/>
  <c r="M63" i="7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N58" i="77" l="1"/>
  <c r="D45" i="9"/>
  <c r="M48" i="9"/>
  <c r="H107" i="9"/>
  <c r="D5" i="53"/>
  <c r="E118" i="9"/>
  <c r="E4" i="52" s="1"/>
  <c r="B48" i="72" s="1"/>
  <c r="I4" i="52"/>
  <c r="H102" i="9"/>
  <c r="D7" i="53" s="1"/>
  <c r="B21" i="72" s="1"/>
  <c r="C105" i="9"/>
  <c r="B5" i="74"/>
  <c r="E14" i="74"/>
  <c r="F14" i="74"/>
  <c r="C80" i="77"/>
  <c r="E80" i="77" s="1"/>
  <c r="E81" i="77" s="1"/>
  <c r="N58" i="79"/>
  <c r="P57" i="79"/>
  <c r="N59" i="79"/>
  <c r="N59" i="77"/>
  <c r="N60" i="77" s="1"/>
  <c r="M69" i="77"/>
  <c r="N69" i="77"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D6" i="53" l="1"/>
  <c r="B22" i="72" s="1"/>
  <c r="B20" i="72"/>
  <c r="D5" i="74"/>
  <c r="C5" i="74"/>
  <c r="D122" i="9"/>
  <c r="H108" i="9"/>
  <c r="D15" i="53" s="1"/>
  <c r="B31" i="72" s="1"/>
  <c r="D13" i="53"/>
  <c r="M49" i="9"/>
  <c r="D55" i="9"/>
  <c r="M53" i="9" s="1"/>
  <c r="C64" i="9"/>
  <c r="C63" i="9" s="1"/>
  <c r="C67" i="9" s="1"/>
  <c r="C68" i="9" s="1"/>
  <c r="D54" i="9" s="1"/>
  <c r="C72" i="9"/>
  <c r="D53" i="9"/>
  <c r="C78" i="9"/>
  <c r="C73" i="9" s="1"/>
  <c r="C85" i="9"/>
  <c r="C93" i="9"/>
  <c r="C86" i="9" s="1"/>
  <c r="D52" i="9"/>
  <c r="N61" i="77"/>
  <c r="C81" i="77"/>
  <c r="N61" i="79"/>
  <c r="N60" i="79"/>
  <c r="C79" i="9" l="1"/>
  <c r="C95" i="9"/>
  <c r="L67" i="9"/>
  <c r="M67" i="9" s="1"/>
  <c r="L64" i="9"/>
  <c r="M64" i="9" s="1"/>
  <c r="L63" i="9"/>
  <c r="M63" i="9" s="1"/>
  <c r="L65" i="9"/>
  <c r="M65" i="9" s="1"/>
  <c r="L66" i="9"/>
  <c r="M66" i="9" s="1"/>
  <c r="L68" i="9"/>
  <c r="M68" i="9" s="1"/>
  <c r="B30" i="72"/>
  <c r="D14" i="53"/>
  <c r="B32" i="72" s="1"/>
  <c r="D123" i="9"/>
  <c r="D9" i="52" s="1"/>
  <c r="G14" i="74"/>
  <c r="B6" i="74" s="1"/>
  <c r="D8" i="52"/>
  <c r="C96" i="9" l="1"/>
  <c r="E96" i="9" s="1"/>
  <c r="E97" i="9" s="1"/>
  <c r="D6" i="74"/>
  <c r="C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<sst xmlns="http://schemas.openxmlformats.org/spreadsheetml/2006/main" count="8999" uniqueCount="3132">
  <si>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</si>
  <si>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</si>
  <si>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</si>
  <si>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</si>
  <si>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</si>
  <si>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</si>
  <si>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</si>
  <si>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</si>
  <si>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</si>
  <si>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</si>
  <si>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</si>
  <si>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</si>
  <si>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</si>
  <si>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</si>
  <si>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</si>
  <si>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</si>
  <si>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</si>
  <si>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</si>
  <si>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</si>
  <si>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</si>
  <si>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</si>
  <si>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</si>
  <si>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</si>
  <si>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</si>
  <si>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</si>
  <si>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</si>
  <si>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</si>
  <si>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</si>
  <si>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</si>
  <si>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</si>
  <si>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</si>
  <si>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</si>
  <si>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</si>
  <si>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</si>
  <si>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</si>
  <si>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</si>
  <si>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</si>
  <si>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</si>
  <si>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</si>
  <si>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</si>
  <si>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</si>
  <si>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</si>
  <si>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</si>
  <si>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</si>
  <si>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</si>
  <si>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</si>
  <si>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</si>
  <si>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</si>
  <si>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</si>
  <si>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</si>
  <si>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</si>
  <si>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</si>
  <si>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</si>
  <si>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</si>
  <si>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</si>
  <si>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</si>
  <si>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</si>
  <si>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</si>
  <si>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</si>
  <si>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</si>
  <si>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</si>
  <si>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</si>
  <si>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</si>
  <si>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</si>
  <si>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</si>
  <si>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</si>
  <si>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</si>
  <si>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</si>
  <si>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</si>
  <si>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</si>
  <si>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</si>
  <si>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</si>
  <si>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</si>
  <si>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</si>
  <si>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</si>
  <si>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</si>
  <si>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</si>
  <si>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</si>
  <si>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</si>
  <si>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</si>
  <si>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</si>
  <si>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</si>
  <si>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</si>
  <si>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</si>
  <si>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</si>
  <si>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</si>
  <si>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</si>
  <si>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</si>
  <si>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</si>
  <si>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</si>
  <si>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</si>
  <si>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</si>
  <si>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</si>
  <si>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</si>
  <si>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</si>
  <si>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</si>
  <si>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</si>
  <si>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</si>
  <si>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</si>
  <si>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</si>
  <si>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</si>
  <si>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</si>
  <si>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</si>
  <si>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</si>
  <si>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</si>
  <si>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</si>
  <si>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</si>
  <si>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</si>
  <si>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</si>
  <si>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</si>
  <si>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</si>
  <si>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</si>
  <si>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</si>
  <si>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</si>
  <si>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</si>
  <si>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</si>
  <si>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</si>
  <si>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</si>
  <si>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</si>
  <si>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</si>
  <si>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</si>
  <si>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</si>
  <si>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</si>
  <si>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</si>
  <si>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</si>
  <si>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</si>
  <si>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</si>
  <si>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</si>
  <si>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</si>
  <si>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</si>
  <si>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</si>
  <si>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</si>
  <si>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</si>
  <si>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</si>
  <si>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</si>
  <si>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</si>
  <si>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</si>
  <si>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</si>
  <si>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</si>
  <si>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</si>
  <si>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</si>
  <si>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</si>
  <si>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</si>
  <si>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</si>
  <si>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</si>
  <si>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</si>
  <si>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</si>
  <si>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</si>
  <si>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</si>
  <si>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</si>
  <si>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</si>
  <si>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</si>
  <si>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</si>
  <si>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</si>
  <si>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</si>
  <si>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</si>
  <si>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</si>
  <si>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</si>
  <si>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</si>
  <si>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</si>
  <si>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</si>
  <si>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</si>
  <si>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</si>
  <si>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</si>
  <si>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</si>
  <si>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</si>
  <si>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</si>
  <si>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</si>
  <si>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</si>
  <si>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</si>
  <si>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</si>
  <si>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</si>
  <si>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</si>
  <si>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</si>
  <si>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</si>
  <si>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</si>
  <si>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</si>
  <si>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</si>
  <si>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</si>
  <si>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</si>
  <si>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</si>
  <si>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</si>
  <si>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</si>
  <si>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</si>
  <si>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</si>
  <si>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</si>
  <si>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</si>
  <si>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</si>
  <si>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</si>
  <si>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</si>
  <si>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</si>
  <si>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</si>
  <si>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</si>
  <si>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</si>
  <si>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</si>
  <si>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</si>
  <si>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</si>
  <si>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</si>
  <si>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</si>
  <si>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</si>
  <si>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</si>
  <si>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</si>
  <si>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</si>
  <si>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</si>
  <si>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</si>
  <si>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</si>
  <si>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</si>
  <si>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</si>
  <si>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</si>
  <si>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</si>
  <si>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</si>
  <si>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</si>
  <si>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</si>
  <si>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</si>
  <si>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</si>
  <si>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</si>
  <si>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</si>
  <si>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</si>
  <si>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</si>
  <si>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</si>
  <si>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</si>
  <si>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</si>
  <si>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</si>
  <si>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</si>
  <si>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</si>
  <si>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</si>
  <si>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</si>
  <si>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</si>
  <si>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</si>
  <si>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</si>
  <si>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</si>
  <si>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</si>
  <si>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</si>
  <si>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</si>
  <si>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</si>
  <si>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</si>
  <si>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</si>
  <si>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</si>
  <si>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</si>
  <si>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</si>
  <si>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</si>
  <si>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</si>
  <si>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</si>
  <si>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</si>
  <si>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</si>
  <si>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</si>
  <si>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</si>
  <si>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</si>
  <si>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</si>
  <si>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</si>
  <si>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</si>
  <si>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</si>
  <si>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</si>
  <si>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</si>
  <si>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</si>
  <si>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</si>
  <si>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</si>
  <si>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</si>
  <si>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</si>
  <si>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</si>
  <si>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</si>
  <si>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</si>
  <si>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</si>
  <si>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</si>
  <si>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</si>
  <si>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</si>
  <si>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</si>
  <si>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</si>
  <si>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</si>
  <si>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</si>
  <si>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</si>
  <si>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</si>
  <si>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</si>
  <si>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</si>
  <si>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</si>
  <si>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</si>
  <si>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</si>
  <si>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</si>
  <si>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</si>
  <si>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</si>
  <si>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</si>
  <si>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</si>
  <si>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</si>
  <si>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</si>
  <si>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</si>
  <si>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</si>
  <si>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</si>
  <si>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</si>
  <si>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</si>
  <si>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</si>
  <si>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</si>
  <si>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</si>
  <si>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</si>
  <si>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</si>
  <si>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</si>
  <si>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</si>
  <si>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</si>
  <si>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</si>
  <si>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</si>
  <si>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</si>
  <si>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</si>
  <si>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</si>
  <si>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</si>
  <si>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</si>
  <si>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</si>
  <si>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</si>
  <si>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</si>
  <si>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</si>
  <si>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</si>
  <si>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</si>
  <si>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</si>
  <si>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</si>
  <si>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</si>
  <si>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</si>
  <si>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</si>
  <si>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</si>
  <si>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</si>
  <si>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</si>
  <si>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</si>
  <si>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</si>
  <si>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</si>
  <si>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</si>
  <si>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</si>
  <si>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</si>
  <si>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</si>
  <si>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</si>
  <si>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</si>
  <si>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</si>
  <si>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</si>
  <si>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</si>
  <si>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</si>
  <si>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</si>
  <si>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</si>
  <si>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</si>
  <si>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</si>
  <si>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</si>
  <si>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</si>
  <si>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</si>
  <si>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</si>
  <si>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</si>
  <si>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</si>
  <si>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</si>
  <si>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</si>
  <si>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</si>
  <si>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</si>
  <si>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</si>
  <si>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</si>
  <si>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</si>
  <si>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</si>
  <si>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</si>
  <si>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</si>
  <si>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</si>
  <si>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</si>
  <si>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</si>
  <si>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</si>
  <si>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</si>
  <si>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</si>
  <si>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</si>
  <si>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</si>
  <si>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</si>
  <si>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</si>
  <si>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</si>
  <si>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</si>
  <si>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</si>
  <si>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</si>
  <si>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</si>
  <si>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</si>
  <si>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</si>
  <si>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</si>
  <si>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</si>
  <si>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</si>
  <si>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</si>
  <si>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</si>
  <si>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</si>
  <si>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</si>
  <si>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</si>
  <si>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</si>
  <si>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</si>
  <si>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</si>
  <si>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</si>
  <si>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</si>
  <si>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</si>
  <si>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</si>
  <si>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</si>
  <si>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</si>
  <si>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</si>
  <si>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</si>
  <si>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</si>
  <si>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</si>
  <si>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</si>
  <si>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</si>
  <si>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</si>
  <si>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</si>
  <si>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</si>
  <si>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</si>
  <si>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</si>
  <si>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</si>
  <si>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</si>
  <si>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</si>
  <si>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</si>
  <si>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</si>
  <si>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</si>
  <si>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</si>
  <si>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</si>
  <si>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</si>
  <si>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</si>
  <si>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</si>
  <si>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</si>
  <si>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</si>
  <si>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</si>
  <si>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</si>
  <si>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</si>
  <si>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</si>
  <si>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</si>
  <si>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</si>
  <si>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</si>
  <si>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</si>
  <si>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</si>
  <si>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</si>
  <si>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</si>
  <si>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</si>
  <si>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</si>
  <si>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</si>
  <si>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</si>
  <si>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</si>
  <si>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</si>
  <si>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</si>
  <si>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</si>
  <si>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</si>
  <si>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</si>
  <si>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</si>
  <si>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</si>
  <si>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</si>
  <si>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</si>
  <si>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</si>
  <si>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</si>
  <si>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</si>
  <si>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</si>
  <si>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</si>
  <si>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</si>
  <si>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</si>
  <si>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</si>
  <si>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</si>
  <si>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</si>
  <si>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</si>
  <si>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</si>
  <si>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</si>
  <si>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</si>
  <si>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</si>
  <si>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</si>
  <si>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</si>
  <si>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</si>
  <si>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</si>
  <si>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</si>
  <si>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</si>
  <si>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</si>
  <si>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</si>
  <si>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</si>
  <si>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</si>
  <si>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</si>
  <si>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</si>
  <si>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</si>
  <si>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</si>
  <si>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</si>
  <si>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</si>
  <si>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</si>
  <si>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</si>
  <si>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</si>
  <si>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</si>
  <si>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</si>
  <si>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</si>
  <si>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</si>
  <si>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</si>
  <si>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</si>
  <si>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</si>
  <si>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</si>
  <si>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</si>
  <si>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</si>
  <si>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</si>
  <si>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</si>
  <si>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</si>
  <si>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</si>
  <si>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</si>
  <si>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</si>
  <si>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</si>
  <si>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</si>
  <si>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</si>
  <si>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</si>
  <si>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</si>
  <si>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</si>
  <si>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</si>
  <si>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</si>
  <si>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</si>
  <si>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</si>
  <si>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</si>
  <si>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</si>
  <si>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</si>
  <si>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</si>
  <si>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</si>
  <si>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</si>
  <si>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</si>
  <si>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</si>
  <si>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</si>
  <si>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</si>
  <si>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</si>
  <si>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</si>
  <si>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</si>
  <si>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</si>
  <si>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</si>
  <si>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</si>
  <si>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</si>
  <si>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</si>
  <si>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</si>
  <si>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</si>
  <si>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</si>
  <si>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</si>
  <si>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</si>
  <si>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</si>
  <si>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</si>
  <si>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</si>
  <si>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</si>
  <si>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</si>
  <si>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</si>
  <si>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</si>
  <si>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</si>
  <si>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</si>
  <si>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</si>
  <si>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</si>
  <si>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</si>
  <si>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</si>
  <si>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</si>
  <si>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</si>
  <si>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</si>
  <si>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</si>
  <si>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</si>
  <si>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</si>
  <si>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</si>
  <si>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</si>
  <si>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</si>
  <si>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</si>
  <si>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</si>
  <si>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</si>
  <si>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</si>
  <si>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</si>
  <si>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</si>
  <si>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</si>
  <si>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</si>
  <si>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</si>
  <si>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</si>
  <si>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</si>
  <si>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</si>
  <si>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</si>
  <si>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</si>
  <si>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</si>
  <si>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</si>
  <si>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</si>
  <si>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</si>
  <si>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</si>
  <si>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</si>
  <si>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</si>
  <si>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</si>
  <si>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</si>
  <si>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</si>
  <si>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</si>
  <si>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</si>
  <si>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</si>
  <si>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</si>
  <si>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</si>
  <si>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</si>
  <si>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</si>
  <si>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</si>
  <si>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</si>
  <si>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</si>
  <si>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</si>
  <si>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</si>
  <si>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</si>
  <si>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</si>
  <si>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</si>
  <si>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</si>
  <si>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</si>
  <si>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</si>
  <si>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</si>
  <si>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</si>
  <si>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</si>
  <si>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</si>
  <si>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</si>
  <si>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</si>
  <si>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</si>
  <si>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</si>
  <si>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</si>
  <si>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</si>
  <si>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</si>
  <si>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</si>
  <si>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</si>
  <si>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</si>
  <si>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</si>
  <si>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</si>
  <si>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</si>
  <si>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</si>
  <si>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</si>
  <si>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</si>
  <si>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</si>
  <si>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</si>
  <si>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</si>
  <si>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</si>
  <si>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</si>
  <si>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</si>
  <si>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</si>
  <si>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</si>
  <si>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</si>
  <si>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</si>
  <si>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</si>
  <si>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</si>
  <si>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</si>
  <si>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</si>
  <si>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</si>
  <si>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</si>
  <si>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</si>
  <si>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</si>
  <si>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</si>
  <si>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</si>
  <si>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</si>
  <si>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</si>
  <si>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</si>
  <si>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</si>
  <si>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</si>
  <si>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</si>
  <si>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</si>
  <si>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</si>
  <si>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</si>
  <si>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</si>
  <si>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</si>
  <si>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</si>
  <si>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</si>
  <si>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</si>
  <si>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</si>
  <si>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</si>
  <si>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</si>
  <si>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</si>
  <si>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</si>
  <si>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</si>
  <si>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</si>
  <si>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</si>
  <si>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</si>
  <si>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</si>
  <si>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</si>
  <si>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</si>
  <si>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</si>
  <si>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</si>
  <si>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</si>
  <si>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</si>
  <si>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</si>
  <si>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</si>
  <si>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</si>
  <si>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</si>
  <si>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</si>
  <si>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</si>
  <si>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</si>
  <si>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</si>
  <si>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</si>
  <si>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</si>
  <si>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</si>
  <si>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</si>
  <si>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</si>
  <si>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</si>
  <si>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</si>
  <si>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</si>
  <si>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</si>
  <si>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</si>
  <si>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</si>
  <si>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</si>
  <si>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</si>
  <si>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</si>
  <si>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</si>
  <si>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</si>
  <si>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</si>
  <si>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</si>
  <si>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</si>
  <si>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</si>
  <si>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</si>
  <si>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</si>
  <si>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</si>
  <si>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</si>
  <si>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</si>
  <si>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</si>
  <si>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</si>
  <si>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</si>
  <si>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</si>
  <si>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</si>
  <si>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</si>
  <si>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</si>
  <si>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</si>
  <si>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</si>
  <si>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</si>
  <si>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</si>
  <si>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</si>
  <si>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</si>
  <si>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</si>
  <si>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</si>
  <si>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</si>
  <si>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</si>
  <si>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</si>
  <si>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</si>
  <si>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</si>
  <si>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</si>
  <si>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</si>
  <si>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</si>
  <si>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</si>
  <si>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</si>
  <si>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</si>
  <si>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</si>
  <si>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</si>
  <si>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</si>
  <si>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</si>
  <si>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</si>
  <si>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</si>
  <si>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</si>
  <si>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</si>
  <si>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</si>
  <si>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</si>
  <si>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</si>
  <si>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</si>
  <si>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</si>
  <si>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</si>
  <si>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</si>
  <si>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</si>
  <si>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</si>
  <si>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</si>
  <si>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</si>
  <si>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</si>
  <si>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</si>
  <si>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</si>
  <si>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</si>
  <si>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</si>
  <si>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</si>
  <si>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</si>
  <si>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</si>
  <si>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</si>
  <si>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</si>
  <si>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</si>
  <si>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</si>
  <si>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</si>
  <si>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</si>
  <si>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</si>
  <si>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</si>
  <si>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</si>
  <si>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</si>
  <si>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</si>
  <si>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</si>
  <si>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</si>
  <si>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</si>
  <si>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</si>
  <si>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</si>
  <si>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</si>
  <si>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</si>
  <si>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</si>
  <si>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</si>
  <si>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</si>
  <si>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</si>
  <si>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</si>
  <si>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</si>
  <si>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</si>
  <si>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</si>
  <si>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</si>
  <si>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</si>
  <si>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</si>
  <si>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</si>
  <si>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</si>
  <si>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</si>
  <si>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</si>
  <si>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</si>
  <si>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</si>
  <si>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</si>
  <si>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</si>
  <si>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</si>
  <si>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</si>
  <si>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</si>
  <si>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</si>
  <si>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</si>
  <si>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</si>
  <si>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</si>
  <si>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</si>
  <si>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</si>
  <si>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</si>
  <si>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</si>
  <si>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</si>
  <si>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</si>
  <si>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</si>
  <si>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</si>
  <si>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</si>
  <si>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</si>
  <si>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</si>
  <si>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</si>
  <si>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</si>
  <si>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</si>
  <si>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</si>
  <si>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</si>
  <si>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</si>
  <si>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</si>
  <si>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</si>
  <si>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</si>
  <si>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</si>
  <si>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</si>
  <si>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</si>
  <si>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</si>
  <si>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</si>
  <si>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</si>
  <si>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</si>
  <si>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</si>
  <si>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</si>
  <si>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</si>
  <si>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</si>
  <si>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</si>
  <si>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</si>
  <si>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</si>
  <si>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</si>
  <si>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</si>
  <si>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</si>
  <si>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</si>
  <si>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</si>
  <si>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</si>
  <si>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</si>
  <si>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</si>
  <si>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</si>
  <si>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</si>
  <si>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</si>
  <si>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</si>
  <si>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</si>
  <si>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</si>
  <si>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</si>
  <si>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</si>
  <si>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</si>
  <si>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</si>
  <si>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</si>
  <si>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</si>
  <si>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</si>
  <si>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</si>
  <si>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</si>
  <si>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</si>
  <si>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</si>
  <si>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</si>
  <si>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</si>
  <si>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</si>
  <si>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</si>
  <si>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</si>
  <si>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</si>
  <si>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</si>
  <si>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</si>
  <si>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</si>
  <si>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</si>
  <si>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</si>
  <si>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</si>
  <si>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</si>
  <si>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</si>
  <si>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</si>
  <si>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</si>
  <si>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</si>
  <si>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</si>
  <si>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</si>
  <si>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</si>
  <si>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</si>
  <si>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</si>
  <si>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</si>
  <si>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</si>
  <si>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</si>
  <si>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</si>
  <si>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</si>
  <si>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</si>
  <si>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</si>
  <si>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</si>
  <si>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</si>
  <si>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</si>
  <si>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</si>
  <si>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</si>
  <si>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</si>
  <si>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</si>
  <si>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</si>
  <si>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</si>
  <si>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</si>
  <si>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</si>
  <si>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</si>
  <si>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</si>
  <si>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</si>
  <si>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</si>
  <si>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</si>
  <si>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</si>
  <si>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</si>
  <si>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</si>
  <si>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</si>
  <si>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</si>
  <si>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</si>
  <si>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</si>
  <si>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</si>
  <si>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</si>
  <si>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</si>
  <si>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</si>
  <si>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</si>
  <si>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</si>
  <si>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</si>
  <si>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</si>
  <si>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</si>
  <si>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</si>
  <si>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</si>
  <si>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</si>
  <si>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</si>
  <si>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</si>
  <si>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</si>
  <si>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</si>
  <si>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</si>
  <si>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</si>
  <si>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</si>
  <si>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</si>
  <si>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</si>
  <si>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</si>
  <si>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</si>
  <si>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</si>
  <si>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</si>
  <si>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</si>
  <si>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</si>
  <si>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</si>
  <si>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</si>
  <si>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</si>
  <si>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</si>
  <si>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</si>
  <si>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</si>
  <si>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</si>
  <si>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</si>
  <si>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</si>
  <si>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</si>
  <si>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</si>
  <si>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</si>
  <si>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</si>
  <si>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</si>
  <si>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</si>
  <si>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</si>
  <si>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</si>
  <si>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</si>
  <si>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</si>
  <si>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</si>
  <si>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</si>
  <si>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</si>
  <si>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</si>
  <si>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</si>
  <si>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</si>
  <si>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</si>
  <si>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</si>
  <si>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</si>
  <si>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</si>
  <si>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</si>
  <si>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</si>
  <si>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</si>
  <si>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</si>
  <si>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</si>
  <si>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</si>
  <si>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</si>
  <si>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</si>
  <si>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</si>
  <si>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</si>
  <si>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</si>
  <si>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</si>
  <si>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</si>
  <si>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</si>
  <si>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</si>
  <si>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</si>
  <si>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</si>
  <si>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</si>
  <si>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</si>
  <si>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</si>
  <si>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</si>
  <si>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</si>
  <si>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</si>
  <si>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</si>
  <si>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</si>
  <si>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</si>
  <si>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</si>
  <si>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</si>
  <si>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</si>
  <si>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</si>
  <si>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</si>
  <si>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</si>
  <si>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</si>
  <si>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</si>
  <si>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</si>
  <si>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</si>
  <si>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</si>
  <si>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</si>
  <si>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</si>
  <si>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</si>
  <si>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</si>
  <si>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</si>
  <si>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</si>
  <si>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</si>
  <si>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</si>
  <si>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</si>
  <si>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</si>
  <si>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</si>
  <si>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</si>
  <si>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</si>
  <si>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</si>
  <si>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</si>
  <si>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</si>
  <si>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</si>
  <si>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</si>
  <si>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</si>
  <si>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</si>
  <si>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</si>
  <si>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</si>
  <si>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</si>
  <si>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</si>
  <si>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</si>
  <si>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</si>
  <si>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</si>
  <si>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</si>
  <si>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</si>
  <si>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</si>
  <si>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</si>
  <si>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</si>
  <si>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</si>
  <si>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</si>
  <si>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</si>
  <si>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</si>
  <si>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</si>
  <si>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</si>
  <si>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</si>
  <si>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</si>
  <si>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</si>
  <si>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</si>
  <si>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</si>
  <si>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</si>
  <si>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</si>
  <si>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</si>
  <si>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</si>
  <si>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</si>
  <si>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</si>
  <si>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</si>
  <si>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</si>
  <si>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</si>
  <si>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</si>
  <si>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</si>
  <si>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</si>
  <si>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</si>
  <si>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</si>
  <si>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</si>
  <si>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</si>
  <si>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</si>
  <si>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</si>
  <si>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</si>
  <si>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</si>
  <si>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</si>
  <si>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</si>
  <si>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</si>
  <si>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</si>
  <si>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</si>
  <si>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</si>
  <si>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</si>
  <si>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</si>
  <si>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</si>
  <si>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</si>
  <si>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</si>
  <si>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</si>
  <si>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</si>
  <si>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</si>
  <si>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</si>
  <si>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</si>
  <si>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</si>
  <si>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</si>
  <si>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</si>
  <si>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</si>
  <si>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</si>
  <si>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</si>
  <si>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</si>
  <si>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</si>
  <si>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</si>
  <si>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</si>
  <si>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</si>
  <si>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</si>
  <si>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</si>
  <si>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</si>
  <si>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</si>
  <si>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</si>
  <si>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</si>
  <si>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</si>
  <si>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</si>
  <si>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</si>
  <si>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</si>
  <si>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</si>
  <si>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</si>
  <si>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</si>
  <si>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</si>
  <si>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</si>
  <si>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</si>
  <si>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</si>
  <si>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</si>
  <si>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</si>
  <si>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</si>
  <si>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</si>
  <si>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</si>
  <si>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</si>
  <si>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</si>
  <si>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</si>
  <si>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</si>
  <si>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</si>
  <si>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</si>
  <si>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</si>
  <si>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</si>
  <si>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</si>
  <si>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</si>
  <si>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</si>
  <si>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</si>
  <si>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</si>
  <si>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</si>
  <si>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</si>
  <si>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</si>
  <si>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</si>
  <si>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</si>
  <si>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</si>
  <si>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</si>
  <si>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</si>
  <si>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</si>
  <si>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</si>
  <si>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</si>
  <si>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</si>
  <si>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</si>
  <si>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</si>
  <si>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</si>
  <si>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</si>
  <si>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</si>
  <si>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</si>
  <si>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</si>
  <si>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</si>
  <si>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</si>
  <si>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</si>
  <si>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</si>
  <si>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</si>
  <si>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</si>
  <si>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</si>
  <si>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</si>
  <si>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</si>
  <si>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</si>
  <si>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</si>
  <si>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</si>
  <si>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</si>
  <si>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</si>
  <si>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</si>
  <si>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</si>
  <si>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</si>
  <si>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</si>
  <si>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</si>
  <si>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</si>
  <si>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</si>
  <si>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</si>
  <si>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</si>
  <si>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</si>
  <si>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</si>
  <si>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</si>
  <si>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</si>
  <si>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</si>
  <si>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</si>
  <si>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</si>
  <si>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</si>
  <si>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</si>
  <si>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</si>
  <si>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</si>
  <si>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</si>
  <si>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</si>
  <si>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</si>
  <si>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</si>
  <si>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</si>
  <si>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</si>
  <si>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</si>
  <si>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</si>
  <si>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</si>
  <si>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</si>
  <si>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</si>
  <si>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</si>
  <si>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</si>
  <si>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</si>
  <si>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</si>
  <si>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</si>
  <si>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</si>
  <si>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</si>
  <si>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</si>
  <si>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</si>
  <si>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</si>
  <si>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</si>
  <si>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</si>
  <si>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</si>
  <si>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</si>
  <si>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</si>
  <si>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</si>
  <si>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</si>
  <si>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</si>
  <si>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</si>
  <si>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</si>
  <si>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</si>
  <si>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</si>
  <si>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</si>
  <si>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</si>
  <si>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</si>
  <si>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</si>
  <si>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</si>
  <si>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</si>
  <si>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</si>
  <si>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</si>
  <si>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</si>
  <si>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</si>
  <si>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</si>
  <si>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</si>
  <si>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</si>
  <si>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</si>
  <si>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</si>
  <si>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</si>
  <si>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</si>
  <si>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</si>
  <si>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</si>
  <si>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</si>
  <si>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</si>
  <si>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</si>
  <si>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</si>
  <si>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</si>
  <si>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</si>
  <si>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</si>
  <si>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</si>
  <si>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</si>
  <si>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</si>
  <si>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</si>
  <si>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</si>
  <si>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</si>
  <si>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</si>
  <si>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</si>
  <si>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</si>
  <si>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</si>
  <si>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</si>
  <si>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</si>
  <si>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</si>
  <si>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</si>
  <si>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</si>
  <si>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</si>
  <si>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</si>
  <si>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</si>
  <si>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</si>
  <si>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</si>
  <si>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</si>
  <si>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</si>
  <si>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</si>
  <si>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</si>
  <si>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</si>
  <si>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</si>
  <si>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</si>
  <si>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</si>
  <si>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</si>
  <si>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</si>
  <si>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</si>
  <si>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</si>
  <si>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</si>
  <si>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</si>
  <si>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</si>
  <si>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</si>
  <si>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</si>
  <si>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</si>
  <si>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</si>
  <si>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</si>
  <si>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</si>
  <si>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</si>
  <si>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</si>
  <si>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</si>
  <si>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</si>
  <si>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</si>
  <si>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</si>
  <si>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</si>
  <si>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</si>
  <si>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</si>
  <si>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</si>
  <si>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</si>
  <si>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</si>
  <si>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</si>
  <si>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</si>
  <si>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</si>
  <si>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</si>
  <si>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</si>
  <si>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</si>
  <si>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</si>
  <si>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</si>
  <si>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</si>
  <si>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</si>
  <si>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</si>
  <si>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</si>
  <si>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</si>
  <si>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</si>
  <si>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</si>
  <si>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</si>
  <si>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</si>
  <si>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</si>
  <si>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</si>
  <si>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</si>
  <si>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</si>
  <si>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</si>
  <si>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</si>
  <si>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</si>
  <si>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</si>
  <si>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</si>
  <si>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</si>
  <si>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</si>
  <si>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</si>
  <si>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</si>
  <si>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</si>
  <si>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</si>
  <si>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</si>
  <si>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</si>
  <si>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</si>
  <si>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</si>
  <si>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</si>
  <si>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</si>
  <si>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</si>
  <si>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</si>
  <si>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</si>
  <si>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</si>
  <si>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</si>
  <si>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</si>
  <si>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</si>
  <si>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</si>
  <si>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</si>
  <si>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</si>
  <si>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</si>
  <si>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</si>
  <si>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</si>
  <si>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</si>
  <si>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</si>
  <si>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</si>
  <si>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</si>
  <si>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</si>
  <si>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</si>
  <si>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</si>
  <si>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</si>
  <si>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</si>
  <si>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</si>
  <si>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</si>
  <si>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</si>
  <si>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</si>
  <si>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</si>
  <si>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</si>
  <si>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</si>
  <si>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</si>
  <si>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</si>
  <si>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</si>
  <si>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</si>
  <si>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</si>
  <si>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</si>
  <si>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</si>
  <si>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</si>
  <si>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</si>
  <si>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</si>
  <si>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</si>
  <si>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</si>
  <si>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</si>
  <si>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</si>
  <si>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</si>
  <si>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</si>
  <si>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</si>
  <si>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</si>
  <si>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</si>
  <si>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</si>
  <si>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</si>
  <si>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</si>
  <si>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</si>
  <si>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</si>
  <si>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</si>
  <si>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</si>
  <si>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</si>
  <si>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</si>
  <si>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</si>
  <si>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</si>
  <si>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</si>
  <si>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</si>
  <si>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</si>
  <si>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</si>
  <si>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</si>
  <si>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</si>
  <si>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</si>
  <si>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</si>
  <si>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</si>
  <si>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</si>
  <si>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</si>
  <si>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</si>
  <si>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</si>
  <si>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</si>
  <si>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</si>
  <si>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</si>
  <si>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</si>
  <si>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</si>
  <si>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</si>
  <si>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</si>
  <si>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</si>
  <si>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</si>
  <si>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</si>
  <si>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</si>
  <si>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</si>
  <si>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</si>
  <si>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</si>
  <si>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</si>
  <si>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</si>
  <si>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</si>
  <si>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</si>
  <si>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</si>
  <si>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</si>
  <si>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</si>
  <si>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</si>
  <si>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</si>
  <si>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</si>
  <si>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</si>
  <si>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</si>
  <si>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</si>
  <si>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</si>
  <si>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</si>
  <si>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</si>
  <si>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</si>
  <si>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</si>
  <si>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</si>
  <si>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</si>
  <si>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</si>
  <si>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</si>
  <si>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</si>
  <si>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</si>
  <si>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</si>
  <si>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</si>
  <si>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</si>
  <si>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</si>
  <si>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</si>
  <si>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</si>
  <si>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</si>
  <si>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</si>
  <si>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</si>
  <si>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</si>
  <si>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</si>
  <si>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</si>
  <si>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</si>
  <si>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</si>
  <si>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</si>
  <si>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</si>
  <si>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</si>
  <si>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</si>
  <si>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</si>
  <si>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</si>
  <si>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</si>
  <si>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</si>
  <si>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</si>
  <si>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</si>
  <si>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</si>
  <si>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</si>
  <si>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</si>
  <si>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</si>
  <si>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</si>
  <si>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</si>
  <si>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</si>
  <si>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</si>
  <si>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</si>
  <si>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</si>
  <si>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</si>
  <si>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</si>
  <si>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</si>
  <si>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</si>
  <si>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</si>
  <si>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</si>
  <si>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</si>
  <si>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</si>
  <si>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</si>
  <si>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</si>
  <si>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</si>
  <si>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</si>
  <si>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</si>
  <si>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</si>
  <si>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</si>
  <si>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</si>
  <si>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</si>
  <si>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</si>
  <si>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</si>
  <si>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</si>
  <si>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</si>
  <si>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</si>
  <si>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</si>
  <si>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</si>
  <si>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</si>
  <si>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</si>
  <si>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</si>
  <si>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</si>
  <si>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</si>
  <si>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</si>
  <si>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</si>
  <si>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</si>
  <si>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</si>
  <si>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</si>
  <si>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</si>
  <si>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</si>
  <si>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</si>
  <si>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</si>
  <si>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</si>
  <si>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</si>
  <si>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</si>
  <si>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</si>
  <si>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</si>
  <si>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</si>
  <si>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</si>
  <si>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</si>
  <si>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</si>
  <si>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</si>
  <si>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</si>
  <si>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</si>
  <si>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</si>
  <si>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</si>
  <si>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</si>
  <si>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</si>
  <si>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</si>
  <si>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</si>
  <si>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</si>
  <si>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</si>
  <si>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</si>
  <si>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</si>
  <si>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</si>
  <si>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</si>
  <si>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</si>
  <si>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</si>
  <si>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</si>
  <si>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</si>
  <si>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</si>
  <si>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</si>
  <si>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</si>
  <si>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</si>
  <si>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</si>
  <si>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</si>
  <si>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</si>
  <si>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</si>
  <si>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</si>
  <si>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</si>
  <si>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</si>
  <si>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</si>
  <si>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</si>
  <si>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</si>
  <si>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</si>
  <si>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</si>
  <si>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</si>
  <si>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</si>
  <si>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</si>
  <si>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</si>
  <si>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</si>
  <si>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</si>
  <si>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</si>
  <si>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</si>
  <si>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</si>
  <si>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</si>
  <si>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</si>
  <si>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</si>
  <si>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</si>
  <si>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</si>
  <si>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</si>
  <si>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</si>
  <si>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</si>
  <si>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</si>
  <si>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</si>
  <si>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</si>
  <si>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</si>
  <si>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</si>
  <si>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</si>
  <si>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</si>
  <si>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</si>
  <si>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</si>
  <si>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</si>
  <si>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</si>
  <si>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</si>
  <si>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</si>
  <si>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</si>
  <si>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</si>
  <si>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</si>
  <si>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</si>
  <si>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</si>
  <si>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</si>
  <si>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</si>
  <si>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</si>
  <si>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</si>
  <si>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</si>
  <si>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</si>
  <si>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</si>
  <si>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</si>
  <si>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</si>
  <si>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</si>
  <si>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</si>
  <si>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</si>
  <si>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</si>
  <si>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</si>
  <si>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</si>
  <si>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</si>
  <si>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</si>
  <si>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</si>
  <si>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</si>
  <si>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</si>
  <si>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</si>
  <si>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</si>
  <si>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</si>
  <si>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</si>
  <si>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</si>
  <si>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</si>
  <si>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</si>
  <si>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</si>
  <si>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</si>
  <si>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</si>
  <si>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</si>
  <si>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</si>
  <si>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</si>
  <si>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</si>
  <si>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</si>
  <si>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</si>
  <si>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</si>
  <si>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</si>
  <si>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</si>
  <si>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</si>
  <si>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</si>
  <si>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</si>
  <si>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</si>
  <si>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</si>
  <si>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</si>
  <si>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</si>
  <si>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</si>
  <si>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</si>
  <si>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</si>
  <si>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</si>
  <si>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</si>
  <si>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</si>
  <si>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</si>
  <si>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</si>
  <si>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</si>
  <si>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</si>
  <si>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</si>
  <si>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</si>
  <si>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</si>
  <si>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</si>
  <si>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</si>
  <si>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</si>
  <si>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</si>
  <si>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</si>
  <si>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</si>
  <si>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</si>
  <si>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</si>
  <si>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</si>
  <si>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</si>
  <si>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</si>
  <si>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</si>
  <si>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</si>
  <si>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</si>
  <si>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</si>
  <si>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</si>
  <si>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</si>
  <si>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</si>
  <si>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</si>
  <si>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</si>
  <si>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</si>
  <si>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</si>
  <si>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</si>
  <si>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</si>
  <si>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</si>
  <si>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</si>
  <si>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</si>
  <si>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</si>
  <si>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</si>
  <si>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</si>
  <si>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</si>
  <si>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</si>
  <si>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</si>
  <si>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</si>
  <si>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</si>
  <si>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</si>
  <si>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</si>
  <si>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</si>
  <si>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</si>
  <si>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</si>
  <si>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</si>
  <si>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</si>
  <si>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</si>
  <si>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</si>
  <si>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</si>
  <si>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</si>
  <si>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</si>
  <si>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</si>
  <si>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</si>
  <si>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</si>
  <si>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</si>
  <si>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</si>
  <si>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</si>
  <si>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</si>
  <si>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</si>
  <si>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</si>
  <si>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</si>
  <si>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</si>
  <si>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</si>
  <si>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</si>
  <si>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</si>
  <si>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</si>
  <si>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</si>
  <si>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</si>
  <si>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</si>
  <si>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</si>
  <si>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</si>
  <si>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</si>
  <si>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</si>
  <si>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</si>
  <si>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</si>
  <si>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</si>
  <si>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</si>
  <si>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</si>
  <si>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</si>
  <si>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</si>
  <si>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</si>
  <si>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</si>
  <si>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</si>
  <si>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</si>
  <si>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</si>
  <si>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</si>
  <si>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</si>
  <si>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</si>
  <si>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</si>
  <si>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</si>
  <si>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</si>
  <si>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</si>
  <si>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</si>
  <si>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</si>
  <si>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</si>
  <si>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</si>
  <si>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</si>
  <si>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</si>
  <si>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</si>
  <si>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</si>
  <si>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</si>
  <si>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</si>
  <si>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</si>
  <si>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</si>
  <si>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</si>
  <si>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</si>
  <si>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</si>
  <si>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</si>
  <si>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</si>
  <si>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</si>
  <si>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</si>
  <si>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</si>
  <si>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</si>
  <si>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</si>
  <si>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</si>
  <si>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</si>
  <si>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</si>
  <si>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</si>
  <si>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</si>
  <si>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</si>
  <si>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</si>
  <si>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</si>
  <si>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</si>
  <si>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</si>
  <si>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</si>
  <si>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</si>
  <si>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</si>
  <si>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</si>
  <si>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</si>
  <si>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</si>
  <si>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</si>
  <si>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</si>
  <si>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</si>
  <si>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</si>
  <si>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</si>
  <si>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</si>
  <si>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</si>
  <si>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</si>
  <si>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</si>
  <si>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</si>
  <si>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</si>
  <si>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</si>
  <si>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</si>
  <si>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</si>
  <si>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</si>
  <si>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</si>
  <si>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</si>
  <si>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</si>
  <si>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</si>
  <si>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</si>
  <si>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</si>
  <si>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</si>
  <si>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</si>
  <si>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</si>
  <si>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</si>
  <si>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</si>
  <si>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</si>
  <si>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</si>
  <si>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</si>
  <si>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</si>
  <si>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</si>
  <si>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</si>
  <si>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</si>
  <si>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</si>
  <si>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</si>
  <si>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</si>
  <si>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</si>
  <si>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</si>
  <si>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</si>
  <si>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</si>
  <si>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</si>
  <si>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</si>
  <si>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</si>
  <si>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</si>
  <si>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</si>
  <si>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</si>
  <si>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</si>
  <si>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</si>
  <si>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</si>
  <si>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</si>
  <si>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</si>
  <si>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</si>
  <si>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</si>
  <si>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</si>
  <si>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</si>
  <si>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</si>
  <si>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</si>
  <si>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</si>
  <si>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</si>
  <si>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</si>
  <si>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</si>
  <si>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</si>
  <si>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</si>
  <si>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</si>
  <si>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</si>
  <si>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</si>
  <si>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</si>
  <si>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</si>
  <si>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</si>
  <si>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</si>
  <si>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</si>
  <si>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</si>
  <si>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</si>
  <si>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</si>
  <si>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</si>
  <si>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</si>
  <si>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</si>
  <si>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</si>
  <si>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</si>
  <si>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</si>
  <si>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</si>
  <si>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</si>
  <si>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</si>
  <si>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</si>
  <si>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</si>
  <si>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</si>
  <si>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</si>
  <si>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</si>
  <si>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</si>
  <si>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</si>
  <si>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</si>
  <si>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</si>
  <si>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</si>
  <si>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</si>
  <si>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</si>
  <si>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</si>
  <si>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</si>
  <si>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</si>
  <si>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</si>
  <si>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</si>
  <si>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</si>
  <si>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</si>
  <si>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</si>
  <si>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</si>
  <si>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</si>
  <si>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</si>
  <si>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</si>
  <si>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</si>
  <si>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</si>
  <si>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</si>
  <si>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</si>
  <si>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</si>
  <si>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</si>
  <si>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</si>
  <si>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</si>
  <si>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</si>
  <si>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</si>
  <si>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</si>
  <si>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</si>
  <si>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</si>
  <si>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</si>
  <si>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</si>
  <si>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</si>
  <si>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</si>
  <si>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</si>
  <si>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</si>
  <si>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</si>
  <si>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</si>
  <si>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</si>
  <si>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</si>
  <si>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</si>
  <si>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</si>
  <si>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</si>
  <si>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</si>
  <si>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</si>
  <si>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</si>
  <si>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</si>
  <si>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</si>
  <si>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</si>
  <si>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</si>
  <si>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</si>
  <si>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</si>
  <si>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</si>
  <si>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</si>
  <si>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</si>
  <si>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</si>
  <si>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</si>
  <si>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</si>
  <si>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</si>
  <si>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</si>
  <si>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</si>
  <si>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</si>
  <si>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</si>
  <si>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</si>
  <si>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</si>
  <si>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</si>
  <si>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</si>
  <si>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</si>
  <si>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</si>
  <si>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</si>
  <si>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</si>
  <si>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</si>
  <si>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</si>
  <si>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</si>
  <si>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</si>
  <si>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</si>
  <si>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</si>
  <si>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</si>
  <si>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</si>
  <si>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</si>
  <si>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</si>
  <si>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</si>
  <si>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</si>
  <si>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</si>
  <si>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</si>
  <si>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</si>
  <si>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</si>
  <si>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</si>
  <si>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</si>
  <si>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</si>
  <si>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</si>
  <si>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</si>
  <si>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</si>
  <si>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</si>
  <si>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</si>
  <si>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</si>
  <si>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</si>
  <si>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</si>
  <si>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</si>
  <si>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</si>
  <si>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</si>
  <si>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</si>
  <si>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</si>
  <si>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</si>
  <si>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</si>
  <si>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</si>
  <si>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</si>
  <si>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</si>
  <si>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</si>
  <si>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</si>
  <si>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</si>
  <si>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</si>
  <si>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</si>
  <si>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</si>
  <si>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</si>
  <si>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</si>
  <si>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</si>
  <si>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</si>
  <si>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</si>
  <si>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</si>
  <si>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</si>
  <si>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</si>
  <si>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</si>
  <si>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</si>
  <si>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</si>
  <si>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</si>
  <si>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</si>
  <si>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</si>
  <si>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</si>
  <si>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</si>
  <si>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</si>
  <si>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</si>
  <si>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</si>
  <si>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</si>
  <si>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</si>
  <si>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</si>
  <si>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</si>
  <si>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</si>
  <si>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</si>
  <si>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</si>
  <si>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</si>
  <si>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</si>
  <si>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</si>
  <si>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</si>
  <si>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</si>
  <si>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</si>
  <si>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</si>
  <si>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</si>
  <si>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</si>
  <si>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</si>
  <si>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</si>
  <si>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</si>
  <si>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</si>
  <si>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</si>
  <si>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</si>
  <si>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</si>
  <si>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</si>
  <si>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</si>
  <si>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</si>
  <si>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</si>
  <si>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</si>
  <si>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</si>
  <si>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</si>
  <si>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</si>
  <si>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</si>
  <si>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</si>
  <si>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</si>
  <si>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</si>
  <si>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</si>
  <si>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</si>
  <si>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</si>
  <si>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</si>
  <si>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</si>
  <si>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</si>
  <si>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</si>
  <si>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</si>
  <si>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</si>
  <si>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</si>
  <si>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</si>
  <si>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</si>
  <si>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</si>
  <si>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</si>
  <si>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</si>
  <si>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</si>
  <si>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</si>
  <si>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</si>
  <si>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</si>
  <si>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</si>
  <si>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</si>
  <si>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</si>
  <si>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</si>
  <si>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</si>
  <si>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</si>
  <si>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</si>
  <si>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</si>
  <si>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</si>
  <si>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</si>
  <si>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</si>
  <si>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</si>
  <si>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</si>
  <si>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</si>
  <si>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</si>
  <si>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</si>
  <si>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</si>
  <si>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</si>
  <si>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</si>
  <si>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</si>
  <si>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</si>
  <si>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</si>
  <si>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</si>
  <si>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</si>
  <si>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</si>
  <si>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</si>
  <si>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</si>
  <si>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</si>
  <si>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</si>
  <si>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</si>
  <si>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</si>
  <si>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</si>
  <si>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</si>
  <si>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</si>
  <si>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</si>
  <si>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</si>
  <si>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</si>
  <si>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</si>
  <si>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</si>
  <si>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</si>
  <si>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</si>
  <si>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</si>
  <si>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</si>
  <si>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</si>
  <si>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</si>
  <si>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</si>
  <si>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</si>
  <si>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</si>
  <si>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</si>
  <si>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</si>
  <si>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</si>
  <si>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</si>
  <si>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</si>
  <si>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</si>
  <si>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</si>
  <si>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</si>
  <si>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</si>
  <si>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</si>
  <si>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</si>
  <si>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</si>
  <si>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</si>
  <si>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</si>
  <si>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</si>
  <si>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</si>
  <si>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</si>
  <si>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</si>
  <si>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</si>
  <si>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</si>
  <si>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</si>
  <si>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</si>
  <si>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</si>
  <si>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</si>
  <si>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</si>
  <si>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</si>
  <si>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</si>
  <si>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</si>
  <si>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</si>
  <si>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</si>
  <si>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</si>
  <si>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</si>
  <si>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</si>
  <si>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</si>
  <si>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</si>
  <si>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</si>
  <si>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</si>
  <si>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</si>
  <si>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</si>
  <si>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</si>
  <si>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</si>
  <si>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</si>
  <si>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</si>
  <si>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</si>
  <si>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</si>
  <si>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</si>
  <si>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</si>
  <si>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</si>
  <si>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</si>
  <si>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</si>
  <si>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</si>
  <si>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</si>
  <si>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</si>
  <si>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</si>
  <si>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</si>
  <si>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</si>
  <si>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</si>
  <si>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</si>
  <si>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</si>
  <si>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</si>
  <si>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</si>
  <si>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</si>
  <si>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</si>
  <si>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</si>
  <si>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</si>
  <si>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</si>
  <si>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</si>
  <si>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</si>
  <si>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</si>
  <si>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</si>
  <si>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</si>
  <si>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</si>
  <si>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</si>
  <si>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</si>
  <si>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</si>
  <si>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</si>
  <si>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</si>
  <si>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</si>
  <si>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</si>
  <si>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</si>
  <si>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</si>
  <si>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</si>
  <si>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</si>
  <si>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</si>
  <si>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</si>
  <si>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</si>
  <si>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</si>
  <si>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</si>
  <si>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</si>
  <si>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</si>
  <si>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</si>
  <si>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</si>
  <si>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</si>
  <si>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</si>
  <si>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</si>
  <si>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</si>
  <si>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</si>
  <si>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</si>
  <si>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</si>
  <si>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</si>
  <si>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</si>
  <si>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</si>
  <si>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</si>
  <si>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</si>
  <si>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</si>
  <si>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</si>
  <si>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</si>
  <si>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</si>
  <si>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</si>
  <si>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</si>
  <si>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</si>
  <si>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</si>
  <si>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</si>
  <si>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</si>
  <si>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</si>
  <si>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</si>
  <si>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</si>
  <si>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</si>
  <si>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</si>
  <si>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</si>
  <si>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</si>
  <si>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</si>
  <si>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</si>
  <si>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</si>
  <si>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</si>
  <si>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</si>
  <si>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</si>
  <si>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</si>
  <si>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</si>
  <si>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</si>
  <si>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</si>
  <si>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</si>
  <si>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</si>
  <si>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</si>
  <si>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</si>
  <si>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</si>
  <si>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</si>
  <si>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</si>
  <si>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</si>
  <si>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</si>
  <si>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</si>
  <si>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</si>
  <si>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</si>
  <si>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</si>
  <si>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</si>
  <si>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</si>
  <si>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</si>
  <si>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</si>
  <si>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</si>
  <si>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</si>
  <si>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</si>
  <si>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</si>
  <si>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</si>
  <si>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</si>
  <si>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</si>
  <si>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</si>
  <si>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</si>
  <si>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</si>
  <si>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</si>
  <si>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</si>
  <si>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</si>
  <si>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</si>
  <si>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</si>
  <si>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</si>
  <si>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</si>
  <si>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</si>
  <si>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</si>
  <si>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</si>
  <si>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</si>
  <si>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</si>
  <si>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</si>
  <si>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</si>
  <si>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</si>
  <si>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</si>
  <si>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</si>
  <si>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</si>
  <si>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</si>
  <si>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</si>
  <si>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</si>
  <si>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</si>
  <si>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</si>
  <si>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</si>
  <si>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</si>
  <si>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</si>
  <si>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</si>
  <si>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</si>
  <si>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</si>
  <si>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</si>
  <si>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</si>
  <si>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</si>
  <si>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</si>
  <si>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</si>
  <si>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</si>
  <si>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</si>
  <si>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</si>
  <si>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</si>
  <si>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</si>
  <si>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</si>
  <si>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</si>
  <si>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</si>
  <si>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</si>
  <si>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</si>
  <si>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</si>
  <si>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</si>
  <si>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</si>
  <si>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</si>
  <si>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</si>
  <si>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</si>
  <si>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</si>
  <si>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</si>
  <si>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</si>
  <si>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</si>
  <si>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</si>
  <si>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</si>
  <si>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</si>
  <si>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</si>
  <si>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</si>
  <si>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</si>
  <si>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</si>
  <si>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</si>
  <si>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</si>
  <si>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</si>
  <si>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</si>
  <si>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</si>
  <si>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</si>
  <si>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</si>
  <si>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</si>
  <si>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</si>
  <si>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</si>
  <si>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</si>
  <si>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</si>
  <si>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</si>
  <si>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</si>
  <si>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</si>
  <si>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</si>
  <si>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</si>
  <si>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</si>
  <si>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</si>
  <si>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</si>
  <si>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</si>
  <si>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</si>
  <si>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</si>
  <si>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</si>
  <si>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</si>
  <si>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</si>
  <si>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</si>
  <si>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</si>
  <si>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</si>
  <si>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</si>
  <si>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</si>
  <si>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</si>
  <si>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</si>
  <si>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</si>
  <si>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</si>
  <si>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</si>
  <si>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</si>
  <si>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</si>
  <si>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</si>
  <si>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</si>
  <si>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</si>
  <si>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</si>
  <si>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</si>
  <si>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</si>
  <si>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</si>
  <si>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</si>
  <si>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</si>
  <si>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</si>
  <si>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</si>
  <si>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</si>
  <si>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</si>
  <si>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</si>
  <si>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</si>
  <si>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</si>
  <si>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</si>
  <si>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</si>
  <si>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</si>
  <si>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</si>
  <si>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</si>
  <si>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</si>
  <si>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</si>
  <si>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</si>
  <si>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</si>
  <si>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</si>
  <si>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</si>
  <si>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</si>
  <si>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</si>
  <si>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</si>
  <si>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</si>
  <si>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</si>
  <si>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</si>
  <si>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</si>
  <si>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</si>
  <si>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</si>
  <si>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</si>
  <si>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</si>
  <si>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</si>
  <si>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</si>
  <si>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</si>
  <si>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</si>
  <si>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</si>
  <si>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</si>
  <si>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</si>
  <si>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</si>
  <si>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</si>
  <si>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</si>
  <si>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</si>
  <si>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</si>
  <si>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</si>
  <si>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</si>
  <si>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</si>
  <si>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</si>
  <si>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</si>
  <si>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</si>
  <si>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</si>
  <si>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</si>
  <si>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</si>
  <si>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</si>
  <si>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</si>
  <si>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</si>
  <si>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</si>
  <si>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</si>
  <si>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</si>
  <si>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</si>
  <si>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</si>
  <si>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</si>
  <si>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</si>
  <si>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</si>
  <si>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</si>
  <si>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</si>
  <si>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</si>
  <si>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</si>
  <si>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</si>
  <si>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</si>
  <si>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</si>
  <si>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</si>
  <si>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</si>
  <si>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</si>
  <si>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</si>
  <si>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</si>
  <si>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</si>
  <si>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</si>
  <si>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</si>
  <si>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</si>
  <si>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</si>
  <si>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</si>
  <si>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</si>
  <si>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</si>
  <si>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</si>
  <si>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</si>
  <si>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</si>
  <si>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</si>
  <si>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</si>
  <si>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</si>
  <si>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</si>
  <si>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</si>
  <si>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</si>
  <si>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</si>
  <si>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</si>
  <si>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</si>
  <si>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</si>
  <si>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</si>
  <si>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</si>
  <si>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</si>
  <si>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</si>
  <si>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</si>
  <si>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</si>
  <si>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</si>
  <si>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</si>
  <si>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</si>
  <si>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</si>
  <si>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</si>
  <si>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</si>
  <si>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</si>
  <si>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</si>
  <si>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</si>
  <si>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</si>
  <si>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</si>
  <si>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</si>
  <si>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</si>
  <si>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</si>
  <si>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</si>
  <si>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</si>
  <si>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</si>
  <si>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</si>
  <si>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</si>
  <si>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</si>
  <si>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</si>
  <si>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</si>
  <si>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</si>
  <si>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</si>
  <si>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</si>
  <si>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</si>
  <si>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</si>
  <si>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</si>
  <si>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</si>
  <si>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</si>
  <si>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</si>
  <si>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</si>
  <si>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</si>
  <si>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</si>
  <si>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</si>
  <si>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</si>
  <si>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</si>
  <si>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</si>
  <si>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</si>
  <si>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</si>
  <si>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</si>
  <si>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</si>
  <si>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</si>
  <si>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</si>
  <si>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</si>
  <si>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</si>
  <si>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</si>
  <si>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</si>
  <si>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</si>
  <si>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</si>
  <si>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</si>
  <si>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</si>
  <si>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</si>
  <si>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</si>
  <si>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</si>
  <si>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</si>
  <si>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</si>
  <si>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</si>
  <si>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</si>
  <si>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</si>
  <si>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</si>
  <si>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</si>
  <si>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</si>
  <si>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</si>
  <si>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</si>
  <si>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</si>
  <si>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</si>
  <si>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</si>
  <si>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</si>
  <si>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</si>
  <si>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</si>
  <si>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</si>
  <si>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</si>
  <si>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</si>
  <si>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</si>
  <si>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</si>
  <si>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</si>
  <si>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</si>
  <si>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</si>
  <si>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</si>
  <si>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</si>
  <si>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</si>
  <si>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</si>
  <si>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</si>
  <si>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</si>
  <si>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</si>
  <si>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</si>
  <si>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</si>
  <si>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</si>
  <si>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</si>
  <si>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</si>
  <si>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</si>
  <si>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</si>
  <si>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</si>
  <si>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</si>
  <si>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</si>
  <si>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</si>
  <si>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</si>
  <si>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</si>
  <si>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</si>
  <si>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</si>
  <si>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</si>
  <si>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</si>
  <si>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</si>
  <si>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</si>
  <si>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</si>
  <si>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</si>
  <si>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</si>
  <si>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</si>
  <si>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</si>
  <si>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</si>
  <si>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</si>
  <si>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</si>
  <si>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</si>
  <si>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</si>
  <si>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</si>
  <si>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</si>
  <si>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</si>
  <si>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</si>
  <si>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</si>
  <si>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</si>
  <si>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</si>
  <si>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</si>
  <si>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</si>
  <si>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</si>
  <si>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</si>
  <si>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</si>
  <si>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</si>
  <si>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</si>
  <si>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</si>
  <si>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</si>
  <si>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</si>
  <si>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</si>
  <si>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</si>
  <si>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</si>
  <si>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</si>
  <si>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</si>
  <si>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</si>
  <si>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</si>
  <si>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</si>
  <si>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</si>
  <si>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</si>
  <si>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</si>
  <si>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</si>
  <si>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</si>
  <si>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</si>
  <si>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</si>
  <si>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</si>
  <si>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</si>
  <si>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</si>
  <si>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</si>
  <si>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</si>
  <si>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</si>
  <si>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</si>
  <si>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</si>
  <si>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</si>
  <si>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</si>
  <si>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</si>
  <si>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</si>
  <si>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</si>
  <si>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</si>
  <si>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</si>
  <si>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</si>
  <si>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</si>
  <si>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</si>
  <si>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</si>
  <si>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</si>
  <si>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</si>
  <si>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</si>
  <si>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</si>
  <si>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</si>
  <si>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</si>
  <si>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</si>
  <si>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</si>
  <si>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</si>
  <si>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</si>
  <si>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</si>
  <si>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</si>
  <si>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</si>
  <si>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</si>
  <si>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</si>
  <si>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</si>
  <si>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</si>
  <si>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</si>
  <si>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</si>
  <si>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</si>
  <si>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</si>
  <si>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</si>
  <si>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</si>
  <si>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</si>
  <si>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</si>
  <si>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</si>
  <si>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</si>
  <si>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</si>
  <si>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</si>
  <si>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</si>
  <si>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</si>
  <si>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</si>
  <si>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</si>
  <si>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</si>
  <si>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</si>
  <si>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</si>
  <si>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</si>
  <si>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</si>
  <si>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</si>
  <si>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</si>
  <si>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</si>
  <si>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</si>
  <si>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</si>
  <si>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</si>
  <si>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</si>
  <si>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</si>
  <si>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</si>
  <si>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</si>
  <si>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</si>
  <si>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</si>
  <si>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</si>
  <si>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</si>
  <si>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</si>
  <si>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</si>
  <si>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</si>
  <si>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</si>
  <si>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</si>
  <si>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</si>
  <si>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</si>
  <si>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</si>
  <si>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</si>
  <si>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</si>
  <si>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</si>
  <si>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</si>
  <si>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</si>
  <si>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</si>
  <si>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</si>
  <si>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</si>
  <si>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</si>
  <si>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</si>
  <si>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</si>
  <si>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</si>
  <si>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</si>
  <si>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</si>
  <si>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</si>
  <si>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</si>
  <si>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</si>
  <si>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</si>
  <si>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</si>
  <si>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</si>
  <si>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</si>
  <si>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</si>
  <si>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</si>
  <si>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</si>
  <si>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</si>
  <si>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</si>
  <si>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</si>
  <si>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</si>
  <si>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</si>
  <si>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</si>
  <si>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</si>
  <si>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</si>
  <si>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</si>
  <si>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</si>
  <si>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</si>
  <si>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</si>
  <si>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</si>
  <si>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</si>
  <si>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</si>
  <si>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</si>
  <si>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</si>
  <si>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</si>
  <si>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</si>
  <si>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</si>
  <si>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</si>
  <si>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</si>
  <si>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</si>
  <si>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</si>
  <si>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</si>
  <si>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</si>
  <si>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</si>
  <si>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</si>
  <si>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</si>
  <si>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</si>
  <si>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</si>
  <si>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</si>
  <si>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</si>
  <si>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</si>
  <si>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</si>
  <si>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</si>
  <si>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</si>
  <si>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</si>
  <si>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</si>
  <si>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</si>
  <si>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</si>
  <si>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</si>
  <si>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</si>
  <si>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</si>
  <si>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</si>
  <si>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</si>
  <si>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</si>
  <si>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</si>
  <si>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</si>
  <si>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</si>
  <si>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</si>
  <si>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</si>
  <si>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</si>
  <si>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</si>
  <si>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</si>
  <si>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</si>
  <si>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</si>
  <si>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</si>
  <si>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</si>
  <si>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</si>
  <si>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</si>
  <si>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</si>
  <si>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</si>
  <si>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</si>
  <si>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</si>
  <si>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</si>
  <si>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</si>
  <si>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</si>
  <si>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</si>
  <si>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</si>
  <si>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</si>
  <si>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</si>
  <si>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</si>
  <si>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</si>
  <si>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</si>
  <si>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</si>
  <si>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</si>
  <si>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</si>
  <si>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</si>
  <si>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</si>
  <si>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</si>
  <si>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</si>
  <si>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</si>
  <si>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</si>
  <si>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</si>
  <si>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</si>
  <si>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</si>
  <si>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</si>
  <si>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</si>
  <si>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</si>
  <si>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</si>
  <si>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</si>
  <si>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</si>
  <si>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</si>
  <si>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</si>
  <si>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</si>
  <si>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</si>
  <si>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</si>
  <si>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</si>
  <si>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</si>
  <si>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</si>
  <si>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</si>
  <si>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</si>
  <si>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</si>
  <si>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</si>
  <si>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</si>
  <si>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</si>
  <si>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</si>
  <si>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</si>
  <si>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</si>
  <si>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</si>
  <si>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</si>
  <si>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</si>
  <si>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</si>
  <si>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</si>
  <si>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</si>
  <si>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</si>
  <si>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</si>
  <si>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</si>
  <si>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</si>
  <si>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</si>
  <si>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</si>
  <si>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</si>
  <si>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</si>
  <si>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</si>
  <si>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</si>
  <si>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</si>
  <si>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</si>
  <si>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</si>
  <si>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</si>
  <si>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</si>
  <si>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</si>
  <si>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</si>
  <si>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</si>
  <si>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</si>
  <si>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</si>
  <si>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</si>
  <si>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</si>
  <si>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</si>
  <si>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</si>
  <si>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</si>
  <si>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</si>
  <si>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</si>
  <si>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</si>
  <si>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</si>
  <si>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</si>
  <si>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</si>
  <si>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</si>
  <si>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</si>
  <si>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</si>
  <si>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</si>
  <si>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</si>
  <si>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</si>
  <si>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</si>
  <si>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</si>
  <si>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</si>
  <si>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</si>
  <si>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</si>
  <si>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</si>
  <si>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</si>
  <si>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</si>
  <si>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</si>
  <si>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</si>
  <si>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</si>
  <si>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</si>
  <si>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</si>
  <si>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</si>
  <si>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</si>
  <si>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</si>
  <si>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</si>
  <si>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</si>
  <si>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</si>
  <si>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</si>
  <si>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</si>
  <si>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</si>
  <si>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</si>
  <si>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</si>
  <si>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</si>
  <si>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</si>
  <si>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</si>
  <si>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</si>
  <si>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</si>
  <si>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</si>
  <si>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</si>
  <si>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</si>
  <si>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</si>
  <si>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</si>
  <si>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</si>
  <si>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</si>
  <si>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</si>
  <si>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</si>
  <si>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</si>
  <si>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</si>
  <si>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</si>
  <si>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</si>
  <si>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</si>
  <si>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</si>
  <si>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</si>
  <si>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</si>
  <si>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</si>
  <si>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</si>
  <si>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</si>
  <si>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</si>
  <si>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</si>
  <si>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</si>
  <si>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</si>
  <si>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</si>
  <si>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</si>
  <si>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</si>
  <si>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</si>
  <si>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</si>
  <si>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</si>
  <si>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</si>
  <si>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</si>
  <si>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</si>
  <si>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</si>
  <si>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</si>
  <si>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</si>
  <si>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</si>
  <si>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</si>
  <si>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</si>
  <si>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</si>
  <si>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</si>
  <si>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</si>
  <si>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</si>
  <si>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</si>
  <si>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</si>
  <si>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</si>
  <si>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</si>
  <si>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</si>
  <si>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</si>
  <si>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</si>
  <si>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</si>
  <si>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</si>
  <si>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</si>
  <si>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</si>
  <si>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</si>
  <si>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</si>
  <si>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</si>
  <si>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</si>
  <si>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</si>
  <si>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</si>
  <si>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</si>
  <si>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</si>
  <si>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</si>
  <si>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</si>
  <si>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</si>
  <si>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</si>
  <si>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</si>
  <si>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</si>
  <si>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</si>
  <si>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</si>
  <si>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</si>
  <si>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</si>
  <si>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</si>
  <si>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</si>
  <si>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</si>
  <si>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</si>
  <si>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</si>
  <si>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</si>
  <si>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</si>
  <si>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</si>
  <si>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</si>
  <si>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</si>
  <si>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</si>
  <si>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</si>
  <si>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</si>
  <si>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</si>
  <si>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</si>
  <si>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</si>
  <si>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</si>
  <si>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</si>
  <si>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</si>
  <si>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</si>
  <si>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</si>
  <si>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</si>
  <si>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</si>
  <si>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</si>
  <si>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</si>
  <si>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</si>
  <si>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</si>
  <si>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</si>
  <si>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</si>
  <si>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</si>
  <si>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</si>
  <si>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</si>
  <si>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</si>
  <si>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</si>
  <si>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</si>
  <si>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</si>
  <si>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</si>
  <si>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</si>
  <si>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</si>
  <si>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</si>
  <si>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</si>
  <si>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</si>
  <si>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</si>
  <si>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</si>
  <si>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</si>
  <si>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</si>
  <si>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</si>
  <si>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</si>
  <si>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</si>
  <si>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</si>
  <si>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</si>
  <si>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</si>
  <si>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</si>
  <si>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</si>
  <si>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</si>
  <si>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</si>
  <si>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</si>
  <si>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</si>
  <si>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</si>
  <si>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</si>
  <si>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</si>
  <si>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</si>
  <si>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</si>
  <si>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</si>
  <si>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</si>
  <si>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</si>
  <si>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</si>
  <si>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</si>
  <si>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</si>
  <si>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</si>
  <si>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</si>
  <si>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</si>
  <si>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</si>
  <si>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</si>
  <si>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</si>
  <si>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</si>
  <si>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</si>
  <si>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</si>
  <si>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</si>
  <si>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</si>
  <si>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</si>
  <si>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</si>
  <si>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</si>
  <si>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</si>
  <si>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</si>
  <si>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</si>
  <si>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</si>
  <si>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</si>
  <si>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</si>
  <si>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</si>
  <si>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</si>
  <si>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</si>
  <si>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</si>
  <si>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</si>
  <si>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</si>
  <si>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</si>
  <si>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</si>
  <si>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</si>
  <si>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</si>
  <si>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</si>
  <si>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</si>
  <si>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</si>
  <si>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</si>
  <si>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</si>
  <si>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</si>
  <si>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</si>
  <si>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</si>
  <si>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</si>
  <si>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</si>
  <si>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</si>
  <si>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</si>
  <si>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</si>
  <si>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</si>
  <si>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</si>
  <si>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</si>
  <si>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</si>
  <si>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</si>
  <si>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</si>
  <si>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中关村环保园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</si>
  <si>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</si>
  <si>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</si>
  <si>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</si>
  <si>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</si>
  <si>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</si>
  <si>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</si>
  <si>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</si>
  <si>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</si>
  <si>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</si>
  <si>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</si>
  <si>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</si>
  <si>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</si>
  <si>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</si>
  <si>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</si>
  <si>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</si>
  <si>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</si>
  <si>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</si>
  <si>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</si>
  <si>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</si>
  <si>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</si>
  <si>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</si>
  <si>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</si>
  <si>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</si>
  <si>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</si>
  <si>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</si>
  <si>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</si>
  <si>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</si>
  <si>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</si>
  <si>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</si>
  <si>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</si>
  <si>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</si>
  <si>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</si>
  <si>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</si>
  <si>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</si>
  <si>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</si>
  <si>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</si>
  <si>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</si>
  <si>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</si>
  <si>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</si>
  <si>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</si>
  <si>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</si>
  <si>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</si>
  <si>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</si>
  <si>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</si>
  <si>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</si>
  <si>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</si>
  <si>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</si>
  <si>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</si>
  <si>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</si>
  <si>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</si>
  <si>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</si>
  <si>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</si>
  <si>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</si>
  <si>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</si>
  <si>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较差</t>
  </si>
  <si>
    <t>成本法-车库</t>
  </si>
  <si>
    <t>收益法-车库</t>
  </si>
  <si>
    <t>收益比率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</si>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</sst>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估价对象为北京市房地产，为所有。根据《国有土地使用证》[]，估价对象（分摊）出让国有建设用地使用权面积为13315.65平方米，建筑面积为41293.96平方米。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估价对象为北京市房地产,属开发建设的，该项目尚在开发建设中。根据《国有土地使用证》[]，估价对象（分摊）出让国有建设用地使用权面积为13315.65平方米，规划建筑面积为41293.96平方米。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120570</v>
      </c>
    </row>
    <row r="21" spans="1:2" s="1592" customFormat="1">
      <c r="A21" s="1590" t="s">
        <v>1231</v>
      </c>
      <c r="B21" s="1591">
        <f ca="1">'预评函-2'!D7</f>
        <v>46517</v>
      </c>
    </row>
    <row r="22" spans="1:2" s="1592" customFormat="1">
      <c r="A22" s="1590" t="s">
        <v>1232</v>
      </c>
      <c r="B22" s="1591" t="str">
        <f ca="1">'预评函-2'!D6</f>
        <v>壹拾贰亿零伍佰柒拾万元整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120570</v>
      </c>
    </row>
    <row r="31" spans="1:2" s="1592" customFormat="1">
      <c r="A31" s="1590" t="s">
        <v>1270</v>
      </c>
      <c r="B31" s="1591">
        <f ca="1">'预评函-2'!D15</f>
        <v>29198</v>
      </c>
    </row>
    <row r="32" spans="1:2" s="1592" customFormat="1">
      <c r="A32" s="1590" t="s">
        <v>1237</v>
      </c>
      <c r="B32" s="1591" t="str">
        <f ca="1">'预评函-2'!D14</f>
        <v>壹拾贰亿零伍佰柒拾万元整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41293.960000000006</v>
      </c>
    </row>
    <row r="44" spans="1:2" s="1592" customFormat="1">
      <c r="A44" s="1590" t="s">
        <v>1269</v>
      </c>
      <c r="B44" s="1591" t="str">
        <f>'预评函-3'!C2</f>
        <v>(分摊)土地面积</v>
      </c>
    </row>
    <row r="45" spans="1:2" s="1592" customFormat="1">
      <c r="A45" s="1590" t="s">
        <v>1241</v>
      </c>
      <c r="B45" s="1591">
        <f>'预评函-3'!C4</f>
        <v>13315.65</v>
      </c>
    </row>
    <row r="46" spans="1:2" s="1592" customFormat="1">
      <c r="A46" s="1590" t="s">
        <v>1267</v>
      </c>
      <c r="B46" s="1591" t="str">
        <f>'预评函-3'!D2</f>
        <v>出让国有建设用地使用权价值</v>
      </c>
    </row>
    <row r="47" spans="1:2" s="1592" customFormat="1">
      <c r="A47" s="1590" t="s">
        <v>1242</v>
      </c>
      <c r="B47" s="1591">
        <f ca="1">'预评函-3'!D4</f>
        <v>94045</v>
      </c>
    </row>
    <row r="48" spans="1:2" s="1592" customFormat="1">
      <c r="A48" s="1590" t="s">
        <v>1243</v>
      </c>
      <c r="B48" s="1591">
        <f ca="1">'预评函-3'!E4</f>
        <v>36283</v>
      </c>
    </row>
    <row r="49" spans="1:2" s="1592" customFormat="1">
      <c r="A49" s="1590" t="s">
        <v>1244</v>
      </c>
      <c r="B49" s="1591" t="str">
        <f ca="1">'预评函-3'!D5</f>
        <v>玖亿肆仟零肆拾伍万元整</v>
      </c>
    </row>
    <row r="50" spans="1:2" s="1592" customFormat="1">
      <c r="A50" s="1590" t="s">
        <v>1268</v>
      </c>
      <c r="B50" s="1591" t="str">
        <f>'预评函-3'!F2</f>
        <v>在建建筑物价值</v>
      </c>
    </row>
    <row r="51" spans="1:2" s="1592" customFormat="1">
      <c r="A51" s="1590" t="s">
        <v>1245</v>
      </c>
      <c r="B51" s="1591">
        <f ca="1">'预评函-3'!F4</f>
        <v>26525</v>
      </c>
    </row>
    <row r="52" spans="1:2" s="1592" customFormat="1">
      <c r="A52" s="1590" t="s">
        <v>1246</v>
      </c>
      <c r="B52" s="1591">
        <f ca="1">'预评函-3'!G4</f>
        <v>10234</v>
      </c>
    </row>
    <row r="53" spans="1:2" s="1592" customFormat="1">
      <c r="A53" s="1590" t="s">
        <v>1274</v>
      </c>
      <c r="B53" s="1591" t="str">
        <f ca="1">'预评函-3'!F5</f>
        <v>贰亿陆仟伍佰贰拾伍万元整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3108</v>
      </c>
      <c r="C18" s="2014"/>
    </row>
    <row r="19" spans="1:3">
      <c r="A19" s="2013" t="s">
        <v>1764</v>
      </c>
      <c r="B19" s="2013" t="s">
        <v>3113</v>
      </c>
      <c r="C19" s="2014"/>
    </row>
    <row r="20" spans="1:3">
      <c r="A20" s="2013" t="s">
        <v>1765</v>
      </c>
      <c r="B20" s="2013" t="s">
        <v>3114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1" t="s">
        <v>861</v>
      </c>
      <c r="C54" s="2018" t="s">
        <v>1277</v>
      </c>
    </row>
    <row r="55" spans="1:4">
      <c r="A55" s="3025"/>
      <c r="B55" s="2021" t="s">
        <v>862</v>
      </c>
      <c r="C55" s="2018" t="s">
        <v>1278</v>
      </c>
    </row>
    <row r="56" spans="1:4">
      <c r="A56" s="3025"/>
      <c r="B56" s="2021" t="s">
        <v>863</v>
      </c>
      <c r="C56" s="2018" t="s">
        <v>1282</v>
      </c>
    </row>
    <row r="57" spans="1:4">
      <c r="A57" s="302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4" t="str">
        <f>IF(B10="北京市","北京市",C10)&amp;F10&amp;IF('结果表-办公'!G1="在建","出让国有建设用地使用权及在建建筑物",IF('结果表-办公'!G1="土地","出让国有建设用地使用权",))&amp;B9&amp;"预评估"</f>
        <v>北京市房地产抵押价值预评估</v>
      </c>
      <c r="C1" s="3035"/>
      <c r="D1" s="3035"/>
      <c r="E1" s="3035"/>
      <c r="F1" s="3035"/>
      <c r="G1" s="3035"/>
      <c r="H1" s="3035"/>
      <c r="I1" s="3036"/>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3057</v>
      </c>
      <c r="C8" s="2055"/>
      <c r="D8" s="3037" t="s">
        <v>1781</v>
      </c>
      <c r="E8" s="2056" t="s">
        <v>3058</v>
      </c>
      <c r="F8" s="2057"/>
      <c r="G8" s="2025"/>
      <c r="H8" s="2025"/>
      <c r="I8" s="2025"/>
      <c r="J8" s="2041"/>
      <c r="K8" s="2042"/>
      <c r="L8" s="2027"/>
      <c r="M8" s="2027"/>
      <c r="N8" s="2028"/>
      <c r="O8" s="2029"/>
      <c r="P8" s="2028"/>
      <c r="Q8" s="2028"/>
      <c r="R8" s="2028"/>
    </row>
    <row r="9" spans="1:19" ht="18" customHeight="1" thickBot="1">
      <c r="A9" s="2039" t="s">
        <v>1782</v>
      </c>
      <c r="B9" s="2058" t="s">
        <v>3058</v>
      </c>
      <c r="C9" s="2059"/>
      <c r="D9" s="3038"/>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4"/>
      <c r="C16" s="3045"/>
      <c r="D16" s="3046"/>
      <c r="E16" s="2085" t="s">
        <v>1798</v>
      </c>
      <c r="F16" s="3047"/>
      <c r="G16" s="3048"/>
      <c r="H16" s="3048"/>
      <c r="I16" s="3049"/>
      <c r="J16" s="2028"/>
      <c r="K16" s="2082"/>
      <c r="L16" s="2083"/>
      <c r="M16" s="2083"/>
      <c r="N16" s="2084"/>
      <c r="O16" s="2083"/>
      <c r="P16" s="2084"/>
      <c r="Q16" s="2028"/>
      <c r="R16" s="2028"/>
    </row>
    <row r="17" spans="1:22" ht="18" customHeight="1">
      <c r="A17" s="2086" t="s">
        <v>1799</v>
      </c>
      <c r="B17" s="2034" t="s">
        <v>1800</v>
      </c>
      <c r="C17" s="1053">
        <f>'数据-汇总表'!E3</f>
        <v>41293.960000000006</v>
      </c>
      <c r="D17" s="2087" t="s">
        <v>1801</v>
      </c>
      <c r="E17" s="3050" t="s">
        <v>1802</v>
      </c>
      <c r="F17" s="3051"/>
      <c r="G17" s="3051"/>
      <c r="H17" s="3051"/>
      <c r="I17" s="3052"/>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13315.65</v>
      </c>
      <c r="D18" s="2090" t="s">
        <v>1801</v>
      </c>
      <c r="E18" s="3053" t="s">
        <v>1805</v>
      </c>
      <c r="F18" s="3054"/>
      <c r="G18" s="3054"/>
      <c r="H18" s="3054"/>
      <c r="I18" s="3055"/>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0" t="s">
        <v>1810</v>
      </c>
      <c r="C20" s="3041"/>
      <c r="D20" s="3042" t="s">
        <v>1811</v>
      </c>
      <c r="E20" s="3043"/>
      <c r="F20" s="2097" t="s">
        <v>1812</v>
      </c>
      <c r="G20" s="2041"/>
      <c r="H20" s="2041"/>
      <c r="I20" s="2041"/>
      <c r="J20" s="2041"/>
      <c r="K20" s="303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9"/>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7"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7"/>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7"/>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8"/>
      <c r="B30" s="2034" t="s">
        <v>1829</v>
      </c>
      <c r="C30" s="3029"/>
      <c r="D30" s="303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1"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26" t="s">
        <v>1839</v>
      </c>
      <c r="T34" s="2134" t="str">
        <f>NUMBERSTRING(7-K34,1)&amp;"通"</f>
        <v>七通</v>
      </c>
      <c r="U34" s="2028"/>
      <c r="V34" s="2028"/>
    </row>
    <row r="35" spans="1:22" ht="18" customHeight="1">
      <c r="A35" s="2135"/>
      <c r="B35" s="3033" t="s">
        <v>1840</v>
      </c>
      <c r="C35" s="3033"/>
      <c r="D35" s="3033"/>
      <c r="E35" s="303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41" sqref="D41"/>
      <selection pane="topRight" activeCell="D41" sqref="D41"/>
      <selection pane="bottomLeft" activeCell="D41" sqref="D41"/>
      <selection pane="bottomRight" activeCell="N22" sqref="N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13315.65</v>
      </c>
      <c r="B3" s="14">
        <f>IF(C3="否",G5-AT5,G5)</f>
        <v>41293.960000000006</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7128.3</v>
      </c>
      <c r="L5" s="16">
        <f t="shared" si="0"/>
        <v>0</v>
      </c>
      <c r="M5" s="16">
        <f t="shared" si="0"/>
        <v>8246.2800000000007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41293.960000000006</v>
      </c>
      <c r="BA5" s="18">
        <f t="shared" si="1"/>
        <v>41293.960000000006</v>
      </c>
      <c r="BB5" s="18">
        <f t="shared" si="1"/>
        <v>25919.38</v>
      </c>
      <c r="BC5" s="18">
        <f t="shared" si="1"/>
        <v>7128.3</v>
      </c>
      <c r="BD5" s="18">
        <f t="shared" si="1"/>
        <v>8246.2800000000007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34</v>
      </c>
      <c r="D13" s="2972" t="s">
        <v>3060</v>
      </c>
      <c r="E13" s="16">
        <f>IF($C$3="是",ROUND($A$3*G13/$B$3,2),ROUND($A$3*(G13-AT13)/$B$3,2))</f>
        <v>3060.46</v>
      </c>
      <c r="F13" s="32"/>
      <c r="G13" s="33">
        <f>H13+AC13+AT13</f>
        <v>9490.98</v>
      </c>
      <c r="H13" s="20">
        <f>SUMIF(I$12:AB$12,"总值",I13:AB13)</f>
        <v>9490.98</v>
      </c>
      <c r="I13" s="2214">
        <v>9490.98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35</v>
      </c>
      <c r="D14" s="2972" t="s">
        <v>3061</v>
      </c>
      <c r="E14" s="16">
        <f>IF($C$3="是",ROUND($A$3*G14/$B$3,2),ROUND($A$3*(G14-AT14)/$B$3,2))</f>
        <v>3223.32</v>
      </c>
      <c r="F14" s="32"/>
      <c r="G14" s="33">
        <f>H14+AC14+AT14</f>
        <v>9996.02</v>
      </c>
      <c r="H14" s="20">
        <f>SUMIF(I$12:AB$12,"总值",I14:AB14)</f>
        <v>9996.02</v>
      </c>
      <c r="I14" s="2214">
        <v>9996.02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37</v>
      </c>
      <c r="D15" s="2972" t="s">
        <v>3061</v>
      </c>
      <c r="E15" s="16">
        <f>IF($C$3="是",ROUND($A$3*G15/$B$3,2),ROUND($A$3*(G15-AT15)/$B$3,2))</f>
        <v>2074.19</v>
      </c>
      <c r="F15" s="32"/>
      <c r="G15" s="33">
        <f>H15+AC15+AT15</f>
        <v>6432.38</v>
      </c>
      <c r="H15" s="20">
        <f>SUMIF(I$12:AB$12,"总值",I15:AB15)</f>
        <v>6432.38</v>
      </c>
      <c r="I15" s="2214">
        <v>6432.38</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38</v>
      </c>
      <c r="D16" s="2972" t="s">
        <v>3061</v>
      </c>
      <c r="E16" s="16">
        <f>IF($C$3="是",ROUND($A$3*G16/$B$3,2),ROUND($A$3*(G16-AT16)/$B$3,2))</f>
        <v>4957.6899999999996</v>
      </c>
      <c r="F16" s="32"/>
      <c r="G16" s="33">
        <f>H16+AC16+AT16</f>
        <v>15374.580000000002</v>
      </c>
      <c r="H16" s="20">
        <f>SUMIF(I$12:AB$12,"总值",I16:AB16)</f>
        <v>15374.580000000002</v>
      </c>
      <c r="I16" s="2214"/>
      <c r="J16" s="2214"/>
      <c r="K16" s="2214">
        <v>7128.3</v>
      </c>
      <c r="L16" s="2214"/>
      <c r="M16" s="2214">
        <v>8246.2800000000007</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7128.3</v>
      </c>
      <c r="BD16" s="16">
        <f>IF($D16="是",M16-N16,0)</f>
        <v>8246.2800000000007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67" t="s">
        <v>1936</v>
      </c>
      <c r="B2" s="3067"/>
      <c r="C2" s="3067"/>
      <c r="D2" s="966" t="s">
        <v>1912</v>
      </c>
      <c r="E2" s="2227" t="s">
        <v>1913</v>
      </c>
      <c r="F2" s="1391"/>
      <c r="G2" s="2228"/>
      <c r="H2" s="2229"/>
      <c r="I2" s="2230" t="s">
        <v>1937</v>
      </c>
      <c r="J2" s="1391"/>
      <c r="K2" s="1391"/>
      <c r="L2" s="1391"/>
      <c r="M2" s="1391"/>
      <c r="N2" s="1426"/>
      <c r="O2" s="1391"/>
      <c r="P2" s="1391"/>
    </row>
    <row r="3" spans="1:16" ht="15.75" thickBot="1">
      <c r="A3" s="3068" t="s">
        <v>1910</v>
      </c>
      <c r="B3" s="3068"/>
      <c r="C3" s="3068"/>
      <c r="D3" s="46">
        <f>'数据-基础表'!AY6</f>
        <v>13315.65</v>
      </c>
      <c r="E3" s="46">
        <f>'数据-基础表'!AZ5</f>
        <v>41293.960000000006</v>
      </c>
      <c r="F3" s="1391"/>
      <c r="G3" s="1398"/>
      <c r="H3" s="1246" t="s">
        <v>1911</v>
      </c>
      <c r="I3" s="55">
        <f>ROUND('数据-基础表'!B3/'数据-基础表'!A3,2)</f>
        <v>3.1</v>
      </c>
      <c r="J3" s="1391"/>
      <c r="K3" s="1391"/>
      <c r="L3" s="1391"/>
      <c r="M3" s="1391"/>
      <c r="N3" s="1426"/>
      <c r="O3" s="1391"/>
      <c r="P3" s="1391"/>
    </row>
    <row r="4" spans="1:16" ht="15">
      <c r="A4" s="3069"/>
      <c r="B4" s="3070"/>
      <c r="C4" s="3071"/>
      <c r="D4" s="2231" t="s">
        <v>1912</v>
      </c>
      <c r="E4" s="2232" t="s">
        <v>1913</v>
      </c>
      <c r="F4" s="1391"/>
      <c r="G4" s="2233" t="s">
        <v>1938</v>
      </c>
      <c r="H4" s="1246" t="s">
        <v>1918</v>
      </c>
      <c r="I4" s="55">
        <f>ROUND(SUMIF('数据-基础表'!I9:AS9,"地上",'数据-基础表'!I5:AS5)/'数据-基础表'!A3,2)</f>
        <v>1.95</v>
      </c>
      <c r="J4" s="1391"/>
      <c r="K4" s="1391"/>
      <c r="L4" s="1391"/>
      <c r="M4" s="1391"/>
      <c r="N4" s="1426"/>
      <c r="O4" s="1391"/>
      <c r="P4" s="1391"/>
    </row>
    <row r="5" spans="1:16">
      <c r="A5" s="47" t="s">
        <v>1914</v>
      </c>
      <c r="B5" s="3072" t="s">
        <v>1915</v>
      </c>
      <c r="C5" s="3072"/>
      <c r="D5" s="48">
        <f>ROUND($D$3*E5/$E$3,2)</f>
        <v>0</v>
      </c>
      <c r="E5" s="49">
        <f>SUMIF('数据-基础表'!$11:$11,"住宅",'数据-基础表'!$5:$5)</f>
        <v>0</v>
      </c>
      <c r="F5" s="1391"/>
      <c r="G5" s="1398"/>
      <c r="H5" s="1246" t="s">
        <v>1911</v>
      </c>
      <c r="I5" s="55">
        <f>ROUND(E31/D31,2)</f>
        <v>3.1</v>
      </c>
      <c r="J5" s="1391"/>
      <c r="K5" s="1391"/>
      <c r="L5" s="1391"/>
      <c r="M5" s="1391"/>
      <c r="N5" s="1391"/>
      <c r="O5" s="1391"/>
      <c r="P5" s="1391"/>
    </row>
    <row r="6" spans="1:16" ht="15" thickBot="1">
      <c r="A6" s="2234"/>
      <c r="B6" s="3072" t="s">
        <v>1916</v>
      </c>
      <c r="C6" s="3072"/>
      <c r="D6" s="48">
        <f>ROUND($D$3*E6/$E$3,2)</f>
        <v>13315.65</v>
      </c>
      <c r="E6" s="49">
        <f>E3-E5</f>
        <v>41293.960000000006</v>
      </c>
      <c r="F6" s="1391"/>
      <c r="G6" s="2235" t="s">
        <v>1917</v>
      </c>
      <c r="H6" s="1398" t="s">
        <v>1918</v>
      </c>
      <c r="I6" s="938">
        <f>ROUND(F31/D31,2)</f>
        <v>1.95</v>
      </c>
      <c r="J6" s="1391"/>
      <c r="K6" s="1391"/>
      <c r="L6" s="1391"/>
      <c r="M6" s="1391"/>
      <c r="N6" s="1391"/>
      <c r="O6" s="1391"/>
      <c r="P6" s="1391"/>
    </row>
    <row r="7" spans="1:16" ht="15">
      <c r="A7" s="3064"/>
      <c r="B7" s="3065"/>
      <c r="C7" s="3066"/>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8357.9599999999991</v>
      </c>
      <c r="E8" s="51">
        <f>SUMIF('数据-基础表'!BB10:BK10,"地上",'数据-基础表'!BB5:BK5)</f>
        <v>25919.38</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2298.59</v>
      </c>
      <c r="E12" s="51">
        <f>SUMPRODUCT(('数据-基础表'!BB10:BK10="地下")*('数据-基础表'!BB11:BK11="仓储")*('数据-基础表'!BB5:BK5))</f>
        <v>7128.3</v>
      </c>
      <c r="F12" s="1391"/>
      <c r="G12" s="2237"/>
      <c r="H12" s="2237"/>
      <c r="I12" s="1391"/>
      <c r="J12" s="1391"/>
      <c r="K12" s="1391"/>
      <c r="L12" s="1391"/>
      <c r="M12" s="1391"/>
      <c r="N12" s="1391"/>
      <c r="O12" s="1391"/>
      <c r="P12" s="1391"/>
    </row>
    <row r="13" spans="1:16">
      <c r="A13" s="2238"/>
      <c r="B13" s="2239"/>
      <c r="C13" s="48" t="s">
        <v>1927</v>
      </c>
      <c r="D13" s="48">
        <f t="shared" si="0"/>
        <v>2659.1</v>
      </c>
      <c r="E13" s="51">
        <f>SUMPRODUCT(('数据-基础表'!BB10:BK10="地下")*('数据-基础表'!BB11:BK11="车库")*('数据-基础表'!BB5:BK5))</f>
        <v>8246.2800000000007</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13315.65</v>
      </c>
      <c r="E16" s="53">
        <f>SUM(E8:E15)</f>
        <v>41293.96</v>
      </c>
      <c r="F16" s="1391"/>
      <c r="G16" s="2237"/>
      <c r="H16" s="2240" t="s">
        <v>1940</v>
      </c>
      <c r="I16" s="2241"/>
      <c r="J16" s="1391"/>
      <c r="K16" s="3061" t="s">
        <v>1940</v>
      </c>
      <c r="L16" s="3062"/>
      <c r="M16" s="3062"/>
      <c r="N16" s="3062"/>
      <c r="O16" s="3062"/>
      <c r="P16" s="3063"/>
    </row>
    <row r="17" spans="1:19" ht="15">
      <c r="A17" s="2242" t="s">
        <v>1941</v>
      </c>
      <c r="B17" s="2243" t="s">
        <v>1942</v>
      </c>
      <c r="C17" s="2244" t="s">
        <v>1943</v>
      </c>
      <c r="D17" s="2245" t="s">
        <v>1931</v>
      </c>
      <c r="E17" s="2246" t="s">
        <v>1932</v>
      </c>
      <c r="F17" s="2247"/>
      <c r="G17" s="2248"/>
      <c r="H17" s="2249" t="s">
        <v>1944</v>
      </c>
      <c r="I17" s="2250" t="s">
        <v>1929</v>
      </c>
      <c r="J17" s="1391"/>
      <c r="K17" s="3058" t="s">
        <v>1945</v>
      </c>
      <c r="L17" s="3059"/>
      <c r="M17" s="3060"/>
      <c r="N17" s="3058" t="s">
        <v>1946</v>
      </c>
      <c r="O17" s="3059"/>
      <c r="P17" s="3060"/>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8357.9599999999991</v>
      </c>
      <c r="S19" s="1247">
        <f t="shared" si="5"/>
        <v>25919.38</v>
      </c>
    </row>
    <row r="20" spans="1:19">
      <c r="A20" s="2262"/>
      <c r="B20" s="50" t="s">
        <v>1958</v>
      </c>
      <c r="C20" s="2973" t="s">
        <v>3067</v>
      </c>
      <c r="D20" s="48">
        <f t="shared" ref="D20:D26" si="6">ROUND($D$3*E20/$E$3,2)</f>
        <v>2298.59</v>
      </c>
      <c r="E20" s="56">
        <f t="shared" si="1"/>
        <v>7128.3</v>
      </c>
      <c r="F20" s="57"/>
      <c r="G20" s="58">
        <f>'数据-基础表'!K5</f>
        <v>7128.3</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2298.59</v>
      </c>
      <c r="S20" s="1247">
        <f t="shared" si="5"/>
        <v>7128.3</v>
      </c>
    </row>
    <row r="21" spans="1:19">
      <c r="A21" s="2262"/>
      <c r="B21" s="50" t="s">
        <v>1958</v>
      </c>
      <c r="C21" s="2973" t="s">
        <v>3068</v>
      </c>
      <c r="D21" s="48">
        <f t="shared" si="6"/>
        <v>2659.1</v>
      </c>
      <c r="E21" s="56">
        <f t="shared" si="1"/>
        <v>8246.2800000000007</v>
      </c>
      <c r="F21" s="57"/>
      <c r="G21" s="58">
        <f>'数据-基础表'!M5</f>
        <v>8246.2800000000007</v>
      </c>
      <c r="H21" s="723">
        <f t="shared" si="7"/>
        <v>0</v>
      </c>
      <c r="I21" s="51">
        <f t="shared" si="2"/>
        <v>0</v>
      </c>
      <c r="J21" s="1391"/>
      <c r="K21" s="1390">
        <f t="shared" si="3"/>
        <v>0</v>
      </c>
      <c r="L21" s="1246">
        <f t="shared" si="4"/>
        <v>0</v>
      </c>
      <c r="M21" s="1402">
        <f t="shared" si="8"/>
        <v>0</v>
      </c>
      <c r="N21" s="2260"/>
      <c r="O21" s="2261"/>
      <c r="P21" s="1402">
        <f t="shared" si="9"/>
        <v>0</v>
      </c>
      <c r="R21" s="1246">
        <f t="shared" si="5"/>
        <v>2659.1</v>
      </c>
      <c r="S21" s="1247">
        <f t="shared" si="5"/>
        <v>8246.2800000000007</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13315.65</v>
      </c>
      <c r="E27" s="1393">
        <f>IF(SUM(E19:E26)='数据-基础表'!BA5,SUM(E19:E26),IF(F27="地上面积有误","面积有误","地下面积有误"))</f>
        <v>41293.96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13315.65</v>
      </c>
      <c r="E31" s="729">
        <f>E27+E30</f>
        <v>41293.96</v>
      </c>
      <c r="F31" s="730">
        <f>F27+F30</f>
        <v>25919.38</v>
      </c>
      <c r="G31" s="731">
        <f>G27+G30</f>
        <v>15374.580000000002</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L6" activePane="bottomRight" state="frozen"/>
      <selection activeCell="D41" sqref="D41"/>
      <selection pane="topRight" activeCell="D41" sqref="D41"/>
      <selection pane="bottomLeft" activeCell="D41" sqref="D41"/>
      <selection pane="bottomRight" activeCell="AB7" sqref="AB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3069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0">
        <v>5.1999999999999998E-2</v>
      </c>
      <c r="I6" s="2980">
        <v>5.5E-2</v>
      </c>
      <c r="J6" s="2981">
        <v>0.09</v>
      </c>
      <c r="K6" s="1250">
        <f>SUMIF('数据-汇总表'!C$19:C$33,A6,'数据-汇总表'!E$19:E$33)</f>
        <v>25919.38</v>
      </c>
      <c r="L6" s="802">
        <v>3000</v>
      </c>
      <c r="M6" s="75">
        <f t="shared" ref="M6:M14" si="0">ROUND(K6*L6/10000,0)</f>
        <v>7776</v>
      </c>
      <c r="N6" s="801">
        <v>0.91669999999999996</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0.91669999999999996</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129637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0">
        <v>5.1999999999999998E-2</v>
      </c>
      <c r="I7" s="2980">
        <v>5.5E-2</v>
      </c>
      <c r="J7" s="2981">
        <v>0.09</v>
      </c>
      <c r="K7" s="1250">
        <f>SUMIF('数据-汇总表'!C$19:C$33,A7,'数据-汇总表'!E$19:E$33)</f>
        <v>7128.3</v>
      </c>
      <c r="L7" s="802">
        <v>3000</v>
      </c>
      <c r="M7" s="75">
        <f t="shared" si="0"/>
        <v>2138</v>
      </c>
      <c r="N7" s="801">
        <v>0.91669999999999996</v>
      </c>
      <c r="O7" s="75" t="str">
        <f t="shared" ref="O7:O14" si="3">IF($N$5="成新度","——",ROUND(M7*N7,0))</f>
        <v>——</v>
      </c>
      <c r="P7" s="76" t="str">
        <f t="shared" ref="P7:P14" si="4">IF($N$5="成新度","——",M7-O7)</f>
        <v>——</v>
      </c>
      <c r="Q7" s="803">
        <v>0.2</v>
      </c>
      <c r="R7" s="77">
        <f ca="1">SUMIF('数据-汇总表'!C$19:C$33,A7,'数据-汇总表'!R$19:R$27)</f>
        <v>2298.59</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0.91669999999999996</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3114</v>
      </c>
      <c r="AO7" s="55">
        <f t="shared" ref="AO7:AO13" ca="1" si="8">SUMIF(INDIRECT("'"&amp;AN7&amp;"'"&amp;"!A:A"),"总价",INDIRECT("'"&amp;AN7&amp;"'"&amp;"!B:B"))</f>
        <v>26061</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0">
        <v>5.1999999999999998E-2</v>
      </c>
      <c r="I8" s="2980">
        <v>5.5E-2</v>
      </c>
      <c r="J8" s="2981">
        <v>0.09</v>
      </c>
      <c r="K8" s="1250">
        <f>SUMIF('数据-汇总表'!C$19:C$33,A8,'数据-汇总表'!E$19:E$33)</f>
        <v>8246.2800000000007</v>
      </c>
      <c r="L8" s="802">
        <v>2500</v>
      </c>
      <c r="M8" s="75">
        <f>ROUND(K8*L8/10000,0)</f>
        <v>2062</v>
      </c>
      <c r="N8" s="801">
        <v>0.91669999999999996</v>
      </c>
      <c r="O8" s="75" t="str">
        <f t="shared" si="3"/>
        <v>——</v>
      </c>
      <c r="P8" s="76" t="str">
        <f t="shared" si="4"/>
        <v>——</v>
      </c>
      <c r="Q8" s="803">
        <v>0.15</v>
      </c>
      <c r="R8" s="77">
        <f ca="1">SUMIF('数据-汇总表'!C$19:C$33,A8,'数据-汇总表'!R$19:R$27)</f>
        <v>2659.1</v>
      </c>
      <c r="S8" s="54">
        <f>IF('数据-汇总表'!$I$17="按面积比例",SUMIF('数据-汇总表'!C$19:C$33,A8,'数据-汇总表'!K$19:K$33),SUMIF('数据-汇总表'!C$19:C$33,A8,'数据-汇总表'!N$19:N$33))</f>
        <v>0</v>
      </c>
      <c r="T8" s="1442">
        <f t="shared" si="5"/>
        <v>0</v>
      </c>
      <c r="U8" s="804">
        <v>1.2</v>
      </c>
      <c r="V8" s="805">
        <v>0.03</v>
      </c>
      <c r="W8" s="805">
        <v>0.05</v>
      </c>
      <c r="X8" s="1260"/>
      <c r="Y8" s="806">
        <f>N8</f>
        <v>0.91669999999999996</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6956</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41293.96</v>
      </c>
      <c r="L16" s="102">
        <f>ROUND(M16*10000/SUM(K6:K14),0)</f>
        <v>2900</v>
      </c>
      <c r="M16" s="102">
        <f>SUM(M6:M14)</f>
        <v>11976</v>
      </c>
      <c r="N16" s="103">
        <f>ROUND(SUMPRODUCT(M6:M14,N6:N14)/M16,3)</f>
        <v>0.91700000000000004</v>
      </c>
      <c r="O16" s="102">
        <f>SUM(O6:O14)</f>
        <v>0</v>
      </c>
      <c r="P16" s="102">
        <f>SUM(P6:P14)</f>
        <v>0</v>
      </c>
      <c r="Q16" s="104">
        <f>ROUND(SUMPRODUCT(Q6:Q13,K6:K13)/SUMPRODUCT((Q6:Q13&gt;0)*(K6:K13)),2)</f>
        <v>0.19</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D41" sqref="D41"/>
      <selection pane="topRight" activeCell="D41" sqref="D41"/>
      <selection pane="bottomLeft" activeCell="D41" sqref="D41"/>
      <selection pane="bottomRight" activeCell="D41" sqref="D4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2081</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41293.96</v>
      </c>
      <c r="C1" s="1741"/>
      <c r="D1" s="1741"/>
      <c r="E1" s="1741"/>
      <c r="F1" s="1741"/>
      <c r="G1" s="1739"/>
    </row>
    <row r="2" spans="1:10" ht="16.5">
      <c r="A2" s="1742" t="s">
        <v>1349</v>
      </c>
      <c r="B2" s="1742">
        <f>SUM(C14:C23)</f>
        <v>13315.65</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146294</v>
      </c>
      <c r="C5" s="1742">
        <f ca="1">ROUND(B5*10000/$B$1,0)</f>
        <v>35427</v>
      </c>
      <c r="D5" s="1742">
        <f ca="1">ROUND(B5*10000/$B$2,0)</f>
        <v>109866</v>
      </c>
      <c r="E5" s="1741"/>
      <c r="F5" s="1739"/>
      <c r="G5" s="1739"/>
    </row>
    <row r="6" spans="1:10" ht="16.5">
      <c r="A6" s="1742" t="s">
        <v>1352</v>
      </c>
      <c r="B6" s="1742">
        <f ca="1">SUM(G14:G23)</f>
        <v>146294</v>
      </c>
      <c r="C6" s="1742">
        <f ca="1">ROUND(B6*10000/$B$1,0)</f>
        <v>35427</v>
      </c>
      <c r="D6" s="1742">
        <f ca="1">ROUND(B6*10000/$B$2,0)</f>
        <v>109866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25919.38</v>
      </c>
      <c r="C14" s="1740">
        <f>'结果表-办公'!C118</f>
        <v>8357.9599999999991</v>
      </c>
      <c r="D14" s="1740">
        <f ca="1">'结果表-办公'!H118</f>
        <v>120570</v>
      </c>
      <c r="E14" s="1740">
        <f ca="1">ROUND(D14*10000/B14,0)</f>
        <v>46517</v>
      </c>
      <c r="F14" s="1740">
        <f ca="1">ROUND(D14*10000/C14,0)</f>
        <v>144258</v>
      </c>
      <c r="G14" s="1740">
        <f ca="1">'结果表-办公'!D122</f>
        <v>120570</v>
      </c>
      <c r="H14" s="1740" t="str">
        <f>'结果表-办公'!D124</f>
        <v>——</v>
      </c>
      <c r="I14" s="1740" t="str">
        <f>'结果表-办公'!D126</f>
        <v>——</v>
      </c>
      <c r="J14" s="1739"/>
    </row>
    <row r="15" spans="1:10" ht="16.5">
      <c r="A15" s="1738" t="s">
        <v>1345</v>
      </c>
      <c r="B15" s="1745">
        <f>'结果表-仓储'!L18</f>
        <v>7128.3</v>
      </c>
      <c r="C15" s="1745">
        <f>'结果表-仓储'!L19</f>
        <v>2298.59</v>
      </c>
      <c r="D15" s="1745">
        <f ca="1">'结果表-仓储'!G19</f>
        <v>18725</v>
      </c>
      <c r="E15" s="1740">
        <f t="shared" ref="E15:E23" ca="1" si="0">ROUND(D15*10000/B15,0)</f>
        <v>26269</v>
      </c>
      <c r="F15" s="1740">
        <f t="shared" ref="F15:F23" ca="1" si="1">ROUND(D15*10000/C15,0)</f>
        <v>81463</v>
      </c>
      <c r="G15" s="1746">
        <f ca="1">'结果表-仓储'!G19</f>
        <v>18725</v>
      </c>
      <c r="H15" s="1746"/>
      <c r="I15" s="1745"/>
      <c r="J15" s="1739"/>
    </row>
    <row r="16" spans="1:10" ht="16.5">
      <c r="A16" s="1738" t="s">
        <v>1344</v>
      </c>
      <c r="B16" s="1745">
        <f>'结果表-车库'!L18</f>
        <v>8246.2800000000007</v>
      </c>
      <c r="C16" s="1745">
        <f>'结果表-车库'!L19</f>
        <v>2659.1</v>
      </c>
      <c r="D16" s="1745">
        <f ca="1">'结果表-车库'!G19</f>
        <v>6999</v>
      </c>
      <c r="E16" s="1740">
        <f t="shared" ca="1" si="0"/>
        <v>8487</v>
      </c>
      <c r="F16" s="1740">
        <f t="shared" ca="1" si="1"/>
        <v>26321</v>
      </c>
      <c r="G16" s="1746">
        <f ca="1">'结果表-车库'!G19</f>
        <v>6999</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3108</v>
      </c>
      <c r="D4" s="2427" t="s">
        <v>3107</v>
      </c>
      <c r="E4" s="3105" t="s">
        <v>2123</v>
      </c>
      <c r="F4" s="3106"/>
      <c r="G4" s="3106"/>
      <c r="H4" s="3106"/>
      <c r="I4" s="3114"/>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25919.38</v>
      </c>
      <c r="M18" s="2428">
        <f>IF(C1="",'数据-汇总表'!E3,SUMIF(项目类型,C1,'数据-汇总表'!E17:E26))</f>
        <v>25919.38</v>
      </c>
    </row>
    <row r="19" spans="1:35" ht="15">
      <c r="A19" s="2434" t="s">
        <v>2146</v>
      </c>
      <c r="B19" s="2435" t="s">
        <v>2147</v>
      </c>
      <c r="C19" s="143">
        <f ca="1">SUMIF(INDIRECT("'"&amp;C4&amp;"'"&amp;"!A:A"),'结果表-办公'!B19,INDIRECT("'"&amp;C4&amp;"'"&amp;"!B:B"))</f>
        <v>111502</v>
      </c>
      <c r="D19" s="144">
        <f ca="1">SUMIF(INDIRECT("'"&amp;D4&amp;"'"&amp;"!A:A"),'结果表-办公'!B19,INDIRECT("'"&amp;D4&amp;"'"&amp;"!B:B"))</f>
        <v>129637</v>
      </c>
      <c r="E19" s="2434" t="s">
        <v>2148</v>
      </c>
      <c r="F19" s="2435" t="s">
        <v>2147</v>
      </c>
      <c r="G19" s="145">
        <f ca="1">ROUND(C19*$C$18+D19*$D$18,0)</f>
        <v>120570</v>
      </c>
      <c r="H19" s="2436" t="s">
        <v>2149</v>
      </c>
      <c r="I19" s="138"/>
      <c r="K19" s="2428" t="s">
        <v>2150</v>
      </c>
      <c r="L19" s="2428">
        <f>IF(C1="",'数据-汇总表'!D3,SUMIF(项目类型,C1,'数据-汇总表'!D17:D26)+SUMIF(项目类型,C1,'数据-汇总表'!H17:H27))</f>
        <v>8357.9599999999991</v>
      </c>
      <c r="M19" s="2428">
        <f>IF(C1="",'数据-汇总表'!D3,SUMIF(项目类型,C1,'数据-汇总表'!D17:D26))</f>
        <v>8357.9599999999991</v>
      </c>
    </row>
    <row r="20" spans="1:35" ht="15">
      <c r="A20" s="2437"/>
      <c r="B20" s="1246" t="s">
        <v>2151</v>
      </c>
      <c r="C20" s="146">
        <f ca="1">SUMIF(INDIRECT("'"&amp;C4&amp;"'"&amp;"!A:A"),'结果表-办公'!B20,INDIRECT("'"&amp;C4&amp;"'"&amp;"!B:B"))</f>
        <v>43019</v>
      </c>
      <c r="D20" s="147">
        <f ca="1">SUMIF(INDIRECT("'"&amp;D4&amp;"'"&amp;"!A:A"),'结果表-办公'!B20,INDIRECT("'"&amp;D4&amp;"'"&amp;"!B:B"))</f>
        <v>50015</v>
      </c>
      <c r="E20" s="2437"/>
      <c r="F20" s="1246" t="s">
        <v>2151</v>
      </c>
      <c r="G20" s="148">
        <f ca="1">ROUND(C20*$C$18+D20*$D$18,0)</f>
        <v>46517</v>
      </c>
      <c r="H20" s="979" t="s">
        <v>2152</v>
      </c>
      <c r="I20" s="138"/>
    </row>
    <row r="21" spans="1:35" ht="15" customHeight="1" thickBot="1">
      <c r="A21" s="999"/>
      <c r="B21" s="2438" t="s">
        <v>2153</v>
      </c>
      <c r="C21" s="789">
        <f ca="1">ROUND(C19*10000/L19,0)</f>
        <v>133408</v>
      </c>
      <c r="D21" s="790">
        <f ca="1">ROUND(D19*10000/L19,0)</f>
        <v>155106</v>
      </c>
      <c r="E21" s="999"/>
      <c r="F21" s="2438" t="s">
        <v>2153</v>
      </c>
      <c r="G21" s="149">
        <f ca="1">ROUND(G19*10000/L19,0)</f>
        <v>144258</v>
      </c>
      <c r="H21" s="2439" t="s">
        <v>2152</v>
      </c>
      <c r="I21" s="138"/>
    </row>
    <row r="22" spans="1:35" ht="15" thickBot="1">
      <c r="A22" s="2280" t="s">
        <v>2154</v>
      </c>
      <c r="B22" s="2440"/>
      <c r="C22" s="2441"/>
      <c r="D22" s="791">
        <f ca="1">IF(C19&lt;D19,D19/C19-1,C19/D19-1)</f>
        <v>0.16264282255026807</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120570</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94045</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26525</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120570</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1808">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1808">
        <v>2</v>
      </c>
      <c r="K47" s="3139" t="s">
        <v>2194</v>
      </c>
      <c r="L47" s="3139"/>
      <c r="M47" s="3160">
        <f>'数据-取费表'!B2</f>
        <v>43612</v>
      </c>
      <c r="N47" s="3160"/>
      <c r="O47" s="3160"/>
    </row>
    <row r="48" spans="1:15" ht="25.5">
      <c r="A48" s="3107" t="s">
        <v>2195</v>
      </c>
      <c r="B48" s="3090"/>
      <c r="C48" s="3090"/>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39" t="s">
        <v>2198</v>
      </c>
      <c r="L48" s="3139"/>
      <c r="M48" s="3161">
        <f ca="1">H101</f>
        <v>120570</v>
      </c>
      <c r="N48" s="3161"/>
      <c r="O48" s="3161"/>
    </row>
    <row r="49" spans="1:35" ht="25.5" customHeight="1">
      <c r="A49" s="176" t="s">
        <v>2199</v>
      </c>
      <c r="B49" s="3075" t="s">
        <v>2200</v>
      </c>
      <c r="C49" s="3075"/>
      <c r="D49" s="177">
        <v>0</v>
      </c>
      <c r="E49" s="23" t="s">
        <v>2201</v>
      </c>
      <c r="F49" s="28" t="s">
        <v>34</v>
      </c>
      <c r="G49" s="3145"/>
      <c r="H49" s="138"/>
      <c r="I49" s="2483"/>
      <c r="J49" s="1808">
        <v>4</v>
      </c>
      <c r="K49" s="3139" t="str">
        <f>IF(项目基本情况!E8="房地产抵押价值","房地产抵押价值","抵押担保权已注销时的房地产抵押价值")</f>
        <v>房地产抵押价值</v>
      </c>
      <c r="L49" s="3139"/>
      <c r="M49" s="3161">
        <f ca="1">IF(项目基本情况!E8="房地产抵押价值",H107,H109)</f>
        <v>120570</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484" t="s">
        <v>2205</v>
      </c>
      <c r="K51" s="3139" t="s">
        <v>2206</v>
      </c>
      <c r="L51" s="3139"/>
      <c r="M51" s="2484" t="s">
        <v>2207</v>
      </c>
      <c r="N51" s="2484" t="s">
        <v>2208</v>
      </c>
      <c r="O51" s="2484" t="s">
        <v>2209</v>
      </c>
    </row>
    <row r="52" spans="1:35" ht="24" customHeight="1">
      <c r="A52" s="183" t="s">
        <v>2210</v>
      </c>
      <c r="B52" s="3075" t="s">
        <v>2211</v>
      </c>
      <c r="C52" s="3075"/>
      <c r="D52" s="182">
        <f ca="1">ROUND(D45*'数据-取费表'!B41/(1+'数据-取费表'!C42),0)</f>
        <v>6430</v>
      </c>
      <c r="E52" s="11" t="s">
        <v>2212</v>
      </c>
      <c r="F52" s="184">
        <f>'数据-取费表'!B41</f>
        <v>5.6000000000000001E-2</v>
      </c>
      <c r="G52" s="2485"/>
      <c r="H52" s="138"/>
      <c r="I52" s="2483"/>
      <c r="J52" s="1808">
        <v>1</v>
      </c>
      <c r="K52" s="3140" t="s">
        <v>2213</v>
      </c>
      <c r="L52" s="3140"/>
      <c r="M52" s="1750">
        <f>D48</f>
        <v>0</v>
      </c>
      <c r="N52" s="1808" t="str">
        <f>E48</f>
        <v>销售额×税（费）率</v>
      </c>
      <c r="O52" s="1751" t="str">
        <f>F48</f>
        <v>免征</v>
      </c>
    </row>
    <row r="53" spans="1:35" ht="12" customHeight="1">
      <c r="A53" s="183" t="s">
        <v>2214</v>
      </c>
      <c r="B53" s="3098" t="s">
        <v>2215</v>
      </c>
      <c r="C53" s="3099"/>
      <c r="D53" s="182">
        <f ca="1">ROUND(D45*'数据-取费表'!B41/(1+'数据-取费表'!C42),0)</f>
        <v>6430</v>
      </c>
      <c r="E53" s="11" t="s">
        <v>2212</v>
      </c>
      <c r="F53" s="184">
        <f>'数据-取费表'!B41</f>
        <v>5.6000000000000001E-2</v>
      </c>
      <c r="G53" s="2485"/>
      <c r="H53" s="138"/>
      <c r="I53" s="2483"/>
      <c r="J53" s="1808">
        <v>2</v>
      </c>
      <c r="K53" s="3140" t="s">
        <v>2216</v>
      </c>
      <c r="L53" s="3140"/>
      <c r="M53" s="1750">
        <f t="shared" ref="M53:O54" ca="1" si="0">D55</f>
        <v>60</v>
      </c>
      <c r="N53" s="1808" t="str">
        <f t="shared" si="0"/>
        <v>销售额×税（费）率</v>
      </c>
      <c r="O53" s="1751">
        <f t="shared" si="0"/>
        <v>5.0000000000000001E-4</v>
      </c>
    </row>
    <row r="54" spans="1:35" ht="12" customHeight="1">
      <c r="A54" s="183" t="s">
        <v>2217</v>
      </c>
      <c r="B54" s="3098" t="s">
        <v>2218</v>
      </c>
      <c r="C54" s="3099"/>
      <c r="D54" s="182">
        <f ca="1">C68</f>
        <v>6430</v>
      </c>
      <c r="E54" s="30" t="s">
        <v>2219</v>
      </c>
      <c r="F54" s="184">
        <f>'数据-取费表'!B41</f>
        <v>5.6000000000000001E-2</v>
      </c>
      <c r="G54" s="2485"/>
      <c r="H54" s="2486"/>
      <c r="I54" s="2483"/>
      <c r="J54" s="1808">
        <v>3</v>
      </c>
      <c r="K54" s="3140" t="s">
        <v>2220</v>
      </c>
      <c r="L54" s="3140"/>
      <c r="M54" s="1750">
        <f t="shared" ca="1" si="0"/>
        <v>68243</v>
      </c>
      <c r="N54" s="1808" t="str">
        <f t="shared" si="0"/>
        <v>增值额×税（费）率</v>
      </c>
      <c r="O54" s="1752" t="str">
        <f t="shared" si="0"/>
        <v>——</v>
      </c>
    </row>
    <row r="55" spans="1:35" ht="24" customHeight="1">
      <c r="A55" s="3089" t="s">
        <v>2221</v>
      </c>
      <c r="B55" s="3090"/>
      <c r="C55" s="3090"/>
      <c r="D55" s="185">
        <f ca="1">IF(H55="个人住宅",0,ROUND(D45*I55,0))</f>
        <v>60</v>
      </c>
      <c r="E55" s="11" t="s">
        <v>2222</v>
      </c>
      <c r="F55" s="184">
        <f>IF(H55="正常",I55,"免征")</f>
        <v>5.0000000000000001E-4</v>
      </c>
      <c r="G55" s="2485"/>
      <c r="H55" s="2482" t="s">
        <v>2223</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089" t="s">
        <v>2224</v>
      </c>
      <c r="B56" s="3090"/>
      <c r="C56" s="3090"/>
      <c r="D56" s="185">
        <f ca="1">IF(H56="个人住宅",D57,D58)</f>
        <v>68243</v>
      </c>
      <c r="E56" s="11" t="s">
        <v>2225</v>
      </c>
      <c r="F56" s="184" t="str">
        <f>IF(H56="正常",F58,"免征")</f>
        <v>——</v>
      </c>
      <c r="G56" s="2487" t="s">
        <v>2226</v>
      </c>
      <c r="H56" s="2488" t="s">
        <v>2223</v>
      </c>
      <c r="I56" s="2489"/>
      <c r="J56" s="1808"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IF(AND(J55="",J56=""),4,IF(项目基本情况!K6="上海银行",'结果表-办公'!J56+1,'结果表-办公'!J55+1))</f>
        <v>4</v>
      </c>
      <c r="K57" s="3140" t="s">
        <v>2228</v>
      </c>
      <c r="L57" s="2490" t="s">
        <v>2229</v>
      </c>
      <c r="M57" s="1755"/>
      <c r="N57" s="1756">
        <f ca="1">SUMIF(M52:M56,"&lt;9e307")</f>
        <v>68303</v>
      </c>
      <c r="O57" s="2491"/>
      <c r="P57" s="1749">
        <f ca="1">N57/M49</f>
        <v>0.56650078792402758</v>
      </c>
    </row>
    <row r="58" spans="1:35" ht="24.75">
      <c r="A58" s="183" t="s">
        <v>2210</v>
      </c>
      <c r="B58" s="3105" t="s">
        <v>2230</v>
      </c>
      <c r="C58" s="3106"/>
      <c r="D58" s="185">
        <f ca="1">IF(H58="转让取得",C81,C97)</f>
        <v>68243</v>
      </c>
      <c r="E58" s="11" t="s">
        <v>2225</v>
      </c>
      <c r="F58" s="24" t="s">
        <v>34</v>
      </c>
      <c r="G58" s="2485"/>
      <c r="H58" s="2488" t="s">
        <v>2231</v>
      </c>
      <c r="I58" s="2489"/>
      <c r="J58" s="3140"/>
      <c r="K58" s="3140"/>
      <c r="L58" s="2490" t="s">
        <v>2232</v>
      </c>
      <c r="M58" s="1757"/>
      <c r="N58" s="2492" t="str">
        <f ca="1">NUMBERSTRING(INT(N57*10000),2)&amp;"元整"</f>
        <v>陆亿捌仟叁佰零叁万元整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1808" t="s">
        <v>2229</v>
      </c>
      <c r="M59" s="1758"/>
      <c r="N59" s="1759">
        <f ca="1">M49-N57</f>
        <v>52267</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伍亿贰仟贰佰陆拾柒万元整</v>
      </c>
      <c r="O60" s="2493"/>
    </row>
    <row r="61" spans="1:35" ht="13.5" thickBot="1">
      <c r="A61" s="3087" t="s">
        <v>2236</v>
      </c>
      <c r="B61" s="3087"/>
      <c r="C61" s="3087"/>
      <c r="D61" s="3087"/>
      <c r="E61" s="3087"/>
      <c r="F61" s="2489"/>
      <c r="G61" s="2489"/>
      <c r="H61" s="2497"/>
      <c r="I61" s="138"/>
      <c r="J61" s="1808">
        <f>J59+1</f>
        <v>6</v>
      </c>
      <c r="K61" s="3140" t="s">
        <v>2237</v>
      </c>
      <c r="L61" s="3140"/>
      <c r="M61" s="1760"/>
      <c r="N61" s="1761">
        <f ca="1">ROUND(N59*10000/'数据-汇总表'!E3,0)</f>
        <v>12657</v>
      </c>
      <c r="O61" s="2498"/>
    </row>
    <row r="62" spans="1:35" ht="12.75">
      <c r="A62" s="3103" t="s">
        <v>2238</v>
      </c>
      <c r="B62" s="3104"/>
      <c r="C62" s="1800"/>
      <c r="D62" s="1800" t="s">
        <v>2239</v>
      </c>
      <c r="E62" s="192" t="s">
        <v>2240</v>
      </c>
      <c r="F62" s="2489"/>
      <c r="G62" s="2489"/>
      <c r="H62" s="2497"/>
      <c r="I62" s="138"/>
    </row>
    <row r="63" spans="1:35" ht="12.75">
      <c r="A63" s="203" t="s">
        <v>775</v>
      </c>
      <c r="B63" s="193" t="s">
        <v>2241</v>
      </c>
      <c r="C63" s="194">
        <f ca="1">ROUND((C64+C65)/(1+'数据-取费表'!C42),0)</f>
        <v>114829</v>
      </c>
      <c r="D63" s="195"/>
      <c r="E63" s="196"/>
      <c r="F63" s="2489"/>
      <c r="G63" s="2489"/>
      <c r="H63" s="2497"/>
      <c r="I63" s="138"/>
      <c r="J63" s="3165" t="s">
        <v>2242</v>
      </c>
      <c r="K63" s="2499" t="s">
        <v>2243</v>
      </c>
      <c r="L63" s="1748">
        <f ca="1">IF(M49&gt;10000,M49*0.5%,IF(AND(M49&gt;1000,M49&lt;=10000),M49*1%,IF(AND(M49&gt;100,M49&lt;=1000),M49*3%,IF(AND(M49&gt;10,M49&lt;=100),M49*5%,M49*8%))))</f>
        <v>602.85</v>
      </c>
      <c r="M63" s="24">
        <f ca="1">ROUND(L63,1)</f>
        <v>602.9</v>
      </c>
      <c r="Z63" s="2423"/>
      <c r="AI63" s="2424"/>
    </row>
    <row r="64" spans="1:35" ht="14.25" customHeight="1">
      <c r="A64" s="197" t="s">
        <v>770</v>
      </c>
      <c r="B64" s="198" t="s">
        <v>2244</v>
      </c>
      <c r="C64" s="199">
        <f ca="1">D45</f>
        <v>120570</v>
      </c>
      <c r="D64" s="200" t="s">
        <v>32</v>
      </c>
      <c r="E64" s="201"/>
      <c r="F64" s="2489"/>
      <c r="G64" s="2489"/>
      <c r="H64" s="2497"/>
      <c r="I64" s="138"/>
      <c r="J64" s="3165"/>
      <c r="K64" s="2499" t="s">
        <v>2245</v>
      </c>
      <c r="L64" s="1748">
        <f ca="1">IF(M49&gt;2000,M49*0.5%,IF(AND(M49&gt;1000,M49&lt;=2000),M49*0.6%,IF(AND(M49&gt;500,M49&lt;=1000),M49*0.7%,IF(AND(M49&gt;200,M49&lt;=500),M49*0.8%,IF(AND(M49&gt;100,M49&lt;=200),M49*0.9%,IF(AND(M49&gt;50,M49&lt;=100),M49*1%,IF(AND(M49&gt;20,M49&lt;=50),M49*1.5%,IF(AND(M49&gt;10,M49&lt;=20),M49*2%,IF(AND(M49&gt;1,M49&lt;=10),M49*2.5%)))))))))</f>
        <v>602.85</v>
      </c>
      <c r="M64" s="24">
        <f t="shared" ref="M64:M65" ca="1" si="1">ROUND(L64,1)</f>
        <v>602.9</v>
      </c>
      <c r="N64" s="138" t="s">
        <v>2246</v>
      </c>
      <c r="Z64" s="2423"/>
      <c r="AI64" s="2424"/>
    </row>
    <row r="65" spans="1:35" ht="14.25" customHeight="1">
      <c r="A65" s="197" t="s">
        <v>771</v>
      </c>
      <c r="B65" s="198" t="s">
        <v>2247</v>
      </c>
      <c r="C65" s="202"/>
      <c r="D65" s="200"/>
      <c r="E65" s="201"/>
      <c r="F65" s="2489"/>
      <c r="G65" s="2489"/>
      <c r="H65" s="2497"/>
      <c r="I65" s="138"/>
      <c r="J65" s="3165"/>
      <c r="K65" s="2499" t="s">
        <v>2248</v>
      </c>
      <c r="L65" s="1748">
        <f ca="1">IF(M49&gt;1000,M49*0.1%,IF(AND(M49&gt;500,M49&lt;=1000),M49*0.5%,IF(AND(M49&gt;50,M49&lt;=500),M49*1%,IF(AND(M49&gt;1,M49&lt;=50),M49*1.5%))))</f>
        <v>120.57000000000001</v>
      </c>
      <c r="M65" s="24">
        <f t="shared" ca="1" si="1"/>
        <v>120.6</v>
      </c>
      <c r="N65" s="138" t="s">
        <v>2246</v>
      </c>
      <c r="Z65" s="2423"/>
      <c r="AI65" s="2424"/>
    </row>
    <row r="66" spans="1:35" ht="14.25" customHeight="1">
      <c r="A66" s="203" t="s">
        <v>772</v>
      </c>
      <c r="B66" s="204" t="s">
        <v>2249</v>
      </c>
      <c r="C66" s="205"/>
      <c r="D66" s="206" t="s">
        <v>32</v>
      </c>
      <c r="E66" s="1772" t="s">
        <v>1367</v>
      </c>
      <c r="F66" s="2489"/>
      <c r="G66" s="2489"/>
      <c r="H66" s="2497"/>
      <c r="I66" s="138"/>
      <c r="J66" s="3165"/>
      <c r="K66" s="2499" t="s">
        <v>2250</v>
      </c>
      <c r="L66" s="1748">
        <f ca="1">M49*0.5%</f>
        <v>602.85</v>
      </c>
      <c r="M66" s="24">
        <f ca="1">IF(L66&gt;0.5,0.5,ROUND(L66,0))</f>
        <v>0.5</v>
      </c>
      <c r="N66" s="138" t="s">
        <v>2251</v>
      </c>
      <c r="Z66" s="2423"/>
      <c r="AI66" s="2424"/>
    </row>
    <row r="67" spans="1:35" ht="14.25" customHeight="1">
      <c r="A67" s="203" t="s">
        <v>773</v>
      </c>
      <c r="B67" s="204" t="s">
        <v>2252</v>
      </c>
      <c r="C67" s="207">
        <f ca="1">C63-C66</f>
        <v>114829</v>
      </c>
      <c r="D67" s="200" t="s">
        <v>32</v>
      </c>
      <c r="E67" s="201"/>
      <c r="F67" s="2489"/>
      <c r="G67" s="2489"/>
      <c r="H67" s="2497"/>
      <c r="I67" s="138"/>
      <c r="J67" s="3165"/>
      <c r="K67" s="2499" t="s">
        <v>2253</v>
      </c>
      <c r="L67" s="1748">
        <f ca="1">IF(M49&gt;=10000,(8.25+(M49-10000)*0.01%),IF(AND(M49&gt;=8000,M49&lt;10000),(7.85+(M49-8000)*0.02%),IF(AND(M49&gt;=5000,M49&lt;8000),(6.65+(M49-5000)*0.04%),IF(AND(M49&gt;=2000,M49&lt;5000),(4.25+(PM49-2000)*0.08%),IF(AND(M49&gt;=1000,M49&lt;2000),(2.75+(M49-1000)*0.15%),IF(AND(M49&gt;=100,M49&lt;1000),(0.5+(M49-100)*0.25%),IF(AND(M49&gt;0,M49&lt;100),M49*0.5%)))))))</f>
        <v>19.307000000000002</v>
      </c>
      <c r="M67" s="24">
        <f ca="1">ROUND(L67*0.9,1)</f>
        <v>17.399999999999999</v>
      </c>
      <c r="Z67" s="2423"/>
      <c r="AI67" s="2424"/>
    </row>
    <row r="68" spans="1:35" ht="14.25" customHeight="1" thickBot="1">
      <c r="A68" s="208" t="s">
        <v>774</v>
      </c>
      <c r="B68" s="209" t="s">
        <v>2254</v>
      </c>
      <c r="C68" s="210">
        <f ca="1">IF(C67&lt;=0,0,ROUND(C67*D68,0))</f>
        <v>6430</v>
      </c>
      <c r="D68" s="211">
        <f>'数据-取费表'!B41</f>
        <v>5.6000000000000001E-2</v>
      </c>
      <c r="E68" s="212"/>
      <c r="F68" s="2489"/>
      <c r="G68" s="2489"/>
      <c r="H68" s="2497"/>
      <c r="I68" s="138"/>
      <c r="J68" s="3165"/>
      <c r="K68" s="2499" t="s">
        <v>2255</v>
      </c>
      <c r="L68" s="1748">
        <f ca="1">IF(M49&gt;10000,M49*0.5%,IF(AND(M49&gt;5000,M49&lt;=10000),M49*1%,IF(AND(M49&gt;1000,M49&lt;=5000),M49*2%,IF(AND(M49&gt;200,M49&lt;=1000),M49*3%,M49*5%))))</f>
        <v>602.85</v>
      </c>
      <c r="M68" s="24">
        <f ca="1">ROUND(L68,1)</f>
        <v>602.9</v>
      </c>
      <c r="Z68" s="2423"/>
      <c r="AI68" s="2424"/>
    </row>
    <row r="69" spans="1:35" s="2446" customFormat="1" ht="16.5" customHeight="1">
      <c r="A69" s="2500"/>
      <c r="B69" s="2501"/>
      <c r="C69" s="2502"/>
      <c r="D69" s="2503"/>
      <c r="E69" s="2504"/>
      <c r="F69" s="2166"/>
      <c r="G69" s="2166"/>
      <c r="H69" s="2165"/>
      <c r="I69" s="2418"/>
      <c r="J69" s="3165"/>
      <c r="K69" s="2499" t="s">
        <v>2256</v>
      </c>
      <c r="L69" s="2505"/>
      <c r="M69" s="24">
        <f ca="1">ROUND(SUM(M63:M68),0)</f>
        <v>1947</v>
      </c>
      <c r="N69" s="1749">
        <f ca="1">M69/M49</f>
        <v>1.6148295595919383E-2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114829</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689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689</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114140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165.66037735849056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68243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114829</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689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689</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114140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165.66037735849056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68243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典型户型修正</v>
      </c>
      <c r="D101" s="737" t="str">
        <f>D4</f>
        <v>收益法-办公</v>
      </c>
      <c r="E101" s="3162" t="s">
        <v>2297</v>
      </c>
      <c r="F101" s="3116"/>
      <c r="G101" s="2520" t="s">
        <v>2298</v>
      </c>
      <c r="H101" s="1044">
        <f ca="1">H118</f>
        <v>120570</v>
      </c>
      <c r="I101" s="138"/>
    </row>
    <row r="102" spans="1:35" ht="18.75" customHeight="1">
      <c r="A102" s="3118" t="s">
        <v>2299</v>
      </c>
      <c r="B102" s="2520" t="s">
        <v>2298</v>
      </c>
      <c r="C102" s="736">
        <f ca="1">C19</f>
        <v>111502</v>
      </c>
      <c r="D102" s="737">
        <f ca="1">D19</f>
        <v>129637</v>
      </c>
      <c r="E102" s="3162"/>
      <c r="F102" s="3116"/>
      <c r="G102" s="2520" t="s">
        <v>2300</v>
      </c>
      <c r="H102" s="371">
        <f ca="1">I118</f>
        <v>46517</v>
      </c>
      <c r="I102" s="138"/>
    </row>
    <row r="103" spans="1:35" ht="42.75" customHeight="1">
      <c r="A103" s="3118"/>
      <c r="B103" s="2520" t="s">
        <v>2300</v>
      </c>
      <c r="C103" s="738">
        <f ca="1">C20</f>
        <v>43019</v>
      </c>
      <c r="D103" s="739">
        <f ca="1">D20</f>
        <v>50015</v>
      </c>
      <c r="E103" s="3157" t="s">
        <v>2301</v>
      </c>
      <c r="F103" s="3158"/>
      <c r="G103" s="2521" t="s">
        <v>2302</v>
      </c>
      <c r="H103" s="1044">
        <f>IF(D36="正常操作",H104+H105+H106,H105+H106)</f>
        <v>0</v>
      </c>
      <c r="I103" s="138"/>
    </row>
    <row r="104" spans="1:35" ht="18.75" customHeight="1">
      <c r="A104" s="3118" t="s">
        <v>2303</v>
      </c>
      <c r="B104" s="2522" t="s">
        <v>2298</v>
      </c>
      <c r="C104" s="740">
        <f ca="1">H118</f>
        <v>120570</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46517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120570</v>
      </c>
      <c r="I107" s="138"/>
    </row>
    <row r="108" spans="1:35" ht="18.75" customHeight="1">
      <c r="A108" s="138"/>
      <c r="B108" s="138"/>
      <c r="C108" s="138"/>
      <c r="D108" s="138"/>
      <c r="E108" s="3115"/>
      <c r="F108" s="3116"/>
      <c r="G108" s="2520" t="s">
        <v>2300</v>
      </c>
      <c r="H108" s="371">
        <f ca="1">ROUND(H107*10000/'数据-汇总表'!E3,0)</f>
        <v>29198</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25919.38</v>
      </c>
      <c r="C118" s="1794">
        <f>M19</f>
        <v>8357.9599999999991</v>
      </c>
      <c r="D118" s="1794">
        <f ca="1">ROUND(IF(D32="总价",C34,E118*B118/10000),0)</f>
        <v>94045</v>
      </c>
      <c r="E118" s="1794">
        <f ca="1">ROUND(IF(C33="自定义",IF(D32="楼面单价",C34,D118*10000/B118),I118-G118),0)</f>
        <v>36283</v>
      </c>
      <c r="F118" s="1794">
        <f ca="1">ROUND(IF(D32="总价",C35,G118*B118/10000),0)</f>
        <v>26525</v>
      </c>
      <c r="G118" s="1794">
        <f ca="1">ROUND(IF(D32="楼面单价",C35,F118*10000/B118),0)</f>
        <v>10234</v>
      </c>
      <c r="H118" s="1794">
        <f ca="1">ROUND(IF(D32="总价",C32,I118*B118/10000),0)</f>
        <v>120570</v>
      </c>
      <c r="I118" s="1794">
        <f ca="1">ROUND(IF(D32="楼面单价",C32,H118*10000/B118),0)</f>
        <v>46517</v>
      </c>
    </row>
    <row r="119" spans="1:11" ht="18.75" customHeight="1">
      <c r="A119" s="3026" t="s">
        <v>2318</v>
      </c>
      <c r="B119" s="3026"/>
      <c r="C119" s="3026"/>
      <c r="D119" s="3126" t="str">
        <f ca="1">NUMBERSTRING(INT(D118*10000),2)&amp;"元整"</f>
        <v>玖亿肆仟零肆拾伍万元整</v>
      </c>
      <c r="E119" s="3128"/>
      <c r="F119" s="3126" t="str">
        <f ca="1">NUMBERSTRING(INT(F118*10000),2)&amp;"元整"</f>
        <v>贰亿陆仟伍佰贰拾伍万元整</v>
      </c>
      <c r="G119" s="3128"/>
      <c r="H119" s="3126" t="str">
        <f ca="1">NUMBERSTRING(INT(H118*10000),2)&amp;"元整"</f>
        <v>壹拾贰亿零伍佰柒拾万元整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120570</v>
      </c>
      <c r="E122" s="3155"/>
      <c r="F122" s="3155"/>
      <c r="G122" s="3155"/>
      <c r="H122" s="3155"/>
      <c r="I122" s="3156"/>
    </row>
    <row r="123" spans="1:11" ht="18.75" customHeight="1">
      <c r="A123" s="3026" t="s">
        <v>2318</v>
      </c>
      <c r="B123" s="3026"/>
      <c r="C123" s="3026"/>
      <c r="D123" s="3126" t="str">
        <f ca="1">NUMBERSTRING(INT(D122*10000),2)&amp;"元整"</f>
        <v>壹拾贰亿零伍佰柒拾万元整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8" zoomScale="90" zoomScaleNormal="90" workbookViewId="0">
      <selection activeCell="E50" sqref="E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111503</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43019</v>
      </c>
      <c r="C3" s="400" t="s">
        <v>2645</v>
      </c>
      <c r="D3" s="399">
        <f>IF(D1="",'数据-汇总表'!E3,SUMIF('数据-汇总表'!$C19:$C33,D1,'数据-汇总表'!$E19:$E33))</f>
        <v>25919.38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190" t="s">
        <v>2652</v>
      </c>
      <c r="Q4" s="3191"/>
      <c r="R4" s="3196" t="s">
        <v>2648</v>
      </c>
      <c r="S4" s="3197"/>
      <c r="T4" s="3196" t="s">
        <v>2649</v>
      </c>
      <c r="U4" s="3197"/>
      <c r="V4" s="3202" t="s">
        <v>2650</v>
      </c>
      <c r="W4" s="3202"/>
      <c r="X4" s="2672"/>
      <c r="Y4" s="3196" t="s">
        <v>2652</v>
      </c>
      <c r="Z4" s="3197"/>
      <c r="AA4" s="3215" t="s">
        <v>2648</v>
      </c>
      <c r="AB4" s="3215" t="s">
        <v>2649</v>
      </c>
      <c r="AC4" s="3183" t="s">
        <v>2650</v>
      </c>
    </row>
    <row r="5" spans="1:29" ht="15">
      <c r="A5" s="404"/>
      <c r="B5" s="405"/>
      <c r="C5" s="3212" t="s">
        <v>2543</v>
      </c>
      <c r="D5" s="3207"/>
      <c r="E5" s="3218" t="s">
        <v>3071</v>
      </c>
      <c r="F5" s="3219"/>
      <c r="G5" s="3206" t="s">
        <v>3072</v>
      </c>
      <c r="H5" s="3207"/>
      <c r="I5" s="3206" t="s">
        <v>3073</v>
      </c>
      <c r="J5" s="3207"/>
      <c r="K5" s="610"/>
      <c r="L5" s="1129"/>
      <c r="M5" s="1130"/>
      <c r="N5" s="1130"/>
      <c r="O5" s="1130"/>
      <c r="P5" s="3192"/>
      <c r="Q5" s="3193"/>
      <c r="R5" s="3198"/>
      <c r="S5" s="3199"/>
      <c r="T5" s="3198"/>
      <c r="U5" s="3199"/>
      <c r="V5" s="3203"/>
      <c r="W5" s="3203"/>
      <c r="X5" s="1812"/>
      <c r="Y5" s="3198"/>
      <c r="Z5" s="3199"/>
      <c r="AA5" s="3216"/>
      <c r="AB5" s="3216"/>
      <c r="AC5" s="3184"/>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194"/>
      <c r="Q6" s="3195"/>
      <c r="R6" s="3198"/>
      <c r="S6" s="3199"/>
      <c r="T6" s="3200"/>
      <c r="U6" s="3201"/>
      <c r="V6" s="3203"/>
      <c r="W6" s="3203"/>
      <c r="X6" s="1812"/>
      <c r="Y6" s="3200"/>
      <c r="Z6" s="3201"/>
      <c r="AA6" s="3217"/>
      <c r="AB6" s="3217"/>
      <c r="AC6" s="3185"/>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8" t="s">
        <v>2550</v>
      </c>
      <c r="Q7" s="3211"/>
      <c r="R7" s="770" t="s">
        <v>17</v>
      </c>
      <c r="S7" s="771">
        <f t="shared" ref="S7:S15" si="0">F7</f>
        <v>100</v>
      </c>
      <c r="T7" s="770" t="s">
        <v>17</v>
      </c>
      <c r="U7" s="771">
        <f t="shared" ref="U7:U15" si="1">H7</f>
        <v>100</v>
      </c>
      <c r="V7" s="770" t="s">
        <v>17</v>
      </c>
      <c r="W7" s="771">
        <f t="shared" ref="W7:W15" si="2">J7</f>
        <v>100</v>
      </c>
      <c r="X7" s="772"/>
      <c r="Y7" s="3210" t="s">
        <v>2550</v>
      </c>
      <c r="Z7" s="3209"/>
      <c r="AA7" s="773">
        <f>D7/F7</f>
        <v>1</v>
      </c>
      <c r="AB7" s="773">
        <f>D7/H7</f>
        <v>1</v>
      </c>
      <c r="AC7" s="2673">
        <f>D7/J7</f>
        <v>1</v>
      </c>
    </row>
    <row r="8" spans="1:29" s="117" customFormat="1" ht="15.75" thickBot="1">
      <c r="A8" s="408" t="s">
        <v>2551</v>
      </c>
      <c r="B8" s="409"/>
      <c r="C8" s="414" t="s">
        <v>2653</v>
      </c>
      <c r="D8" s="411">
        <v>100</v>
      </c>
      <c r="E8" s="414" t="s">
        <v>3074</v>
      </c>
      <c r="F8" s="413">
        <f>SUMIF(62:62,E8,63:63)-SUMIF(62:62,C8,63:63)+100</f>
        <v>100</v>
      </c>
      <c r="G8" s="414" t="s">
        <v>3074</v>
      </c>
      <c r="H8" s="411">
        <f>SUMIF(62:62,G8,63:63)-SUMIF(62:62,C8,63:63)+100</f>
        <v>100</v>
      </c>
      <c r="I8" s="414" t="s">
        <v>3074</v>
      </c>
      <c r="J8" s="411">
        <f>SUMIF(62:62,I8,63:63)-SUMIF(62:62,C8,63:63)+100</f>
        <v>100</v>
      </c>
      <c r="K8" s="611"/>
      <c r="L8" s="1131"/>
      <c r="M8" s="1132"/>
      <c r="N8" s="1132"/>
      <c r="O8" s="1132"/>
      <c r="P8" s="3208" t="s">
        <v>2553</v>
      </c>
      <c r="Q8" s="3209"/>
      <c r="R8" s="770" t="s">
        <v>17</v>
      </c>
      <c r="S8" s="771">
        <f t="shared" si="0"/>
        <v>100</v>
      </c>
      <c r="T8" s="770" t="s">
        <v>17</v>
      </c>
      <c r="U8" s="771">
        <f t="shared" si="1"/>
        <v>100</v>
      </c>
      <c r="V8" s="770" t="s">
        <v>17</v>
      </c>
      <c r="W8" s="771">
        <f t="shared" si="2"/>
        <v>100</v>
      </c>
      <c r="X8" s="772"/>
      <c r="Y8" s="3210" t="s">
        <v>2553</v>
      </c>
      <c r="Z8" s="3209"/>
      <c r="AA8" s="773">
        <f t="shared" ref="AA8:AA47" si="3">D8/F8</f>
        <v>1</v>
      </c>
      <c r="AB8" s="773">
        <f t="shared" ref="AB8:AB47" si="4">D8/H8</f>
        <v>1</v>
      </c>
      <c r="AC8" s="2673">
        <f t="shared" ref="AC8:AC47" si="5">D8/J8</f>
        <v>1</v>
      </c>
    </row>
    <row r="9" spans="1:29" s="117" customFormat="1">
      <c r="A9" s="415" t="s">
        <v>2554</v>
      </c>
      <c r="B9" s="71" t="s">
        <v>2555</v>
      </c>
      <c r="C9" s="2974"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73">
        <f t="shared" si="5"/>
        <v>1</v>
      </c>
    </row>
    <row r="10" spans="1:29" s="427" customFormat="1" ht="27">
      <c r="A10" s="421"/>
      <c r="B10" s="422" t="s">
        <v>2558</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2559</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68"/>
      <c r="Q11" s="1794" t="str">
        <f t="shared" si="6"/>
        <v>容积率</v>
      </c>
      <c r="R11" s="770" t="s">
        <v>17</v>
      </c>
      <c r="S11" s="771">
        <f t="shared" si="0"/>
        <v>100</v>
      </c>
      <c r="T11" s="770" t="s">
        <v>17</v>
      </c>
      <c r="U11" s="771">
        <f t="shared" si="1"/>
        <v>100</v>
      </c>
      <c r="V11" s="770" t="s">
        <v>17</v>
      </c>
      <c r="W11" s="771">
        <f t="shared" si="2"/>
        <v>99</v>
      </c>
      <c r="X11" s="772"/>
      <c r="Y11" s="3026"/>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4" t="s">
        <v>2561</v>
      </c>
      <c r="Q15" s="1809" t="str">
        <f t="shared" si="6"/>
        <v>办公集聚程度</v>
      </c>
      <c r="R15" s="774" t="s">
        <v>17</v>
      </c>
      <c r="S15" s="775">
        <f t="shared" si="0"/>
        <v>100</v>
      </c>
      <c r="T15" s="774" t="s">
        <v>17</v>
      </c>
      <c r="U15" s="775">
        <f t="shared" si="1"/>
        <v>100</v>
      </c>
      <c r="V15" s="774" t="s">
        <v>17</v>
      </c>
      <c r="W15" s="775">
        <f t="shared" si="2"/>
        <v>100</v>
      </c>
      <c r="X15" s="1812"/>
      <c r="Y15" s="3176" t="s">
        <v>2561</v>
      </c>
      <c r="Z15" s="1813" t="str">
        <f t="shared" si="7"/>
        <v>办公集聚程度</v>
      </c>
      <c r="AA15" s="1810">
        <f t="shared" si="3"/>
        <v>1</v>
      </c>
      <c r="AB15" s="1810">
        <f t="shared" si="4"/>
        <v>1</v>
      </c>
      <c r="AC15" s="2676">
        <f t="shared" si="5"/>
        <v>1</v>
      </c>
    </row>
    <row r="16" spans="1:29" ht="15">
      <c r="A16" s="428"/>
      <c r="B16" s="630"/>
      <c r="C16" s="2613" t="s">
        <v>3077</v>
      </c>
      <c r="D16" s="448"/>
      <c r="E16" s="447" t="s">
        <v>3077</v>
      </c>
      <c r="F16" s="448"/>
      <c r="G16" s="2613" t="s">
        <v>3077</v>
      </c>
      <c r="H16" s="450"/>
      <c r="I16" s="447" t="s">
        <v>3077</v>
      </c>
      <c r="J16" s="448"/>
      <c r="K16" s="615"/>
      <c r="L16" s="1139"/>
      <c r="M16" s="1130"/>
      <c r="N16" s="1130"/>
      <c r="O16" s="1130"/>
      <c r="P16" s="3175"/>
      <c r="Q16" s="1809"/>
      <c r="R16" s="774"/>
      <c r="S16" s="775"/>
      <c r="T16" s="774"/>
      <c r="U16" s="775"/>
      <c r="V16" s="774"/>
      <c r="W16" s="775"/>
      <c r="X16" s="1812"/>
      <c r="Y16" s="3177"/>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2676">
        <f t="shared" si="5"/>
        <v>1</v>
      </c>
    </row>
    <row r="18" spans="1:29" ht="15">
      <c r="A18" s="428"/>
      <c r="B18" s="632"/>
      <c r="C18" s="2678" t="s">
        <v>3077</v>
      </c>
      <c r="D18" s="450"/>
      <c r="E18" s="2611" t="s">
        <v>3077</v>
      </c>
      <c r="F18" s="450"/>
      <c r="G18" s="2612" t="s">
        <v>3077</v>
      </c>
      <c r="H18" s="448"/>
      <c r="I18" s="2612" t="s">
        <v>3077</v>
      </c>
      <c r="J18" s="448"/>
      <c r="K18" s="615"/>
      <c r="L18" s="1139"/>
      <c r="M18" s="1130"/>
      <c r="N18" s="1130"/>
      <c r="O18" s="1130"/>
      <c r="P18" s="3175"/>
      <c r="Q18" s="1809"/>
      <c r="R18" s="774"/>
      <c r="S18" s="775"/>
      <c r="T18" s="774"/>
      <c r="U18" s="775"/>
      <c r="V18" s="774"/>
      <c r="W18" s="775"/>
      <c r="X18" s="1812"/>
      <c r="Y18" s="3177"/>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2676">
        <f t="shared" si="5"/>
        <v>1</v>
      </c>
    </row>
    <row r="20" spans="1:29" ht="15">
      <c r="A20" s="428"/>
      <c r="B20" s="632"/>
      <c r="C20" s="2613" t="s">
        <v>3077</v>
      </c>
      <c r="D20" s="448"/>
      <c r="E20" s="2606" t="s">
        <v>3077</v>
      </c>
      <c r="F20" s="448"/>
      <c r="G20" s="2607" t="s">
        <v>3077</v>
      </c>
      <c r="H20" s="448"/>
      <c r="I20" s="2607" t="s">
        <v>3077</v>
      </c>
      <c r="J20" s="448"/>
      <c r="K20" s="615"/>
      <c r="L20" s="1139"/>
      <c r="M20" s="1130"/>
      <c r="N20" s="1130"/>
      <c r="O20" s="1130"/>
      <c r="P20" s="3175"/>
      <c r="Q20" s="1809"/>
      <c r="R20" s="774"/>
      <c r="S20" s="775"/>
      <c r="T20" s="774"/>
      <c r="U20" s="775"/>
      <c r="V20" s="774"/>
      <c r="W20" s="775"/>
      <c r="X20" s="1812"/>
      <c r="Y20" s="3177"/>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2676">
        <f t="shared" ref="AC21" si="10">D21/J21</f>
        <v>1</v>
      </c>
    </row>
    <row r="22" spans="1:29" ht="15">
      <c r="A22" s="428"/>
      <c r="B22" s="633"/>
      <c r="C22" s="2678" t="s">
        <v>3078</v>
      </c>
      <c r="D22" s="448"/>
      <c r="E22" s="447" t="s">
        <v>3078</v>
      </c>
      <c r="F22" s="448"/>
      <c r="G22" s="2613" t="s">
        <v>3078</v>
      </c>
      <c r="H22" s="448"/>
      <c r="I22" s="2613" t="s">
        <v>3078</v>
      </c>
      <c r="J22" s="448"/>
      <c r="K22" s="1382"/>
      <c r="L22" s="1139"/>
      <c r="M22" s="1130"/>
      <c r="N22" s="1130"/>
      <c r="O22" s="1130"/>
      <c r="P22" s="3175"/>
      <c r="Q22" s="1809"/>
      <c r="R22" s="774"/>
      <c r="S22" s="775"/>
      <c r="T22" s="774"/>
      <c r="U22" s="775"/>
      <c r="V22" s="774"/>
      <c r="W22" s="775"/>
      <c r="X22" s="1812"/>
      <c r="Y22" s="3177"/>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5"/>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2676">
        <f t="shared" si="5"/>
        <v>1</v>
      </c>
    </row>
    <row r="24" spans="1:29" ht="15">
      <c r="A24" s="428"/>
      <c r="B24" s="633"/>
      <c r="C24" s="2613" t="s">
        <v>3077</v>
      </c>
      <c r="D24" s="448"/>
      <c r="E24" s="2606" t="s">
        <v>3077</v>
      </c>
      <c r="F24" s="448"/>
      <c r="G24" s="2607" t="s">
        <v>3077</v>
      </c>
      <c r="H24" s="448"/>
      <c r="I24" s="2607" t="s">
        <v>3077</v>
      </c>
      <c r="J24" s="448"/>
      <c r="K24" s="615"/>
      <c r="L24" s="1139"/>
      <c r="M24" s="1130"/>
      <c r="N24" s="1130"/>
      <c r="O24" s="1130"/>
      <c r="P24" s="3175"/>
      <c r="Q24" s="1809"/>
      <c r="R24" s="774"/>
      <c r="S24" s="775"/>
      <c r="T24" s="774"/>
      <c r="U24" s="775"/>
      <c r="V24" s="774"/>
      <c r="W24" s="775"/>
      <c r="X24" s="1812"/>
      <c r="Y24" s="3177"/>
      <c r="Z24" s="1813"/>
      <c r="AA24" s="1810">
        <v>1</v>
      </c>
      <c r="AB24" s="1810">
        <v>1</v>
      </c>
      <c r="AC24" s="2676">
        <v>1</v>
      </c>
    </row>
    <row r="25" spans="1:29" ht="27">
      <c r="A25" s="404"/>
      <c r="B25" s="631" t="s">
        <v>2692</v>
      </c>
      <c r="C25" s="2978" t="s">
        <v>3104</v>
      </c>
      <c r="D25" s="435">
        <v>100</v>
      </c>
      <c r="E25" s="2979" t="s">
        <v>3105</v>
      </c>
      <c r="F25" s="435">
        <f>SUMIF(87:87,E26,88:88)-SUMIF(87:87,C26,88:88)+100</f>
        <v>100</v>
      </c>
      <c r="G25" s="2978" t="s">
        <v>3106</v>
      </c>
      <c r="H25" s="435">
        <f>SUMIF(87:87,G26,88:88)-SUMIF(87:87,C26,88:88)+100</f>
        <v>100</v>
      </c>
      <c r="I25" s="2979" t="s">
        <v>3106</v>
      </c>
      <c r="J25" s="435">
        <f>SUMIF(87:87,I26,88:88)-SUMIF(87:87,C26,88:88)+100</f>
        <v>100</v>
      </c>
      <c r="K25" s="614">
        <v>1</v>
      </c>
      <c r="L25" s="1139"/>
      <c r="M25" s="1130"/>
      <c r="N25" s="1130"/>
      <c r="O25" s="1130"/>
      <c r="P25" s="3175"/>
      <c r="Q25" s="1809" t="str">
        <f>B25</f>
        <v>毗邻道路的类型与等级</v>
      </c>
      <c r="R25" s="774" t="s">
        <v>17</v>
      </c>
      <c r="S25" s="775">
        <f>F25</f>
        <v>100</v>
      </c>
      <c r="T25" s="774" t="s">
        <v>17</v>
      </c>
      <c r="U25" s="775">
        <f>H25</f>
        <v>100</v>
      </c>
      <c r="V25" s="774" t="s">
        <v>17</v>
      </c>
      <c r="W25" s="775">
        <f>J25</f>
        <v>100</v>
      </c>
      <c r="X25" s="1812"/>
      <c r="Y25" s="317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175"/>
      <c r="Q26" s="1809"/>
      <c r="R26" s="774"/>
      <c r="S26" s="775"/>
      <c r="T26" s="774"/>
      <c r="U26" s="775"/>
      <c r="V26" s="774"/>
      <c r="W26" s="775"/>
      <c r="X26" s="1812"/>
      <c r="Y26" s="317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5"/>
      <c r="Q27" s="1809" t="str">
        <f t="shared" ref="Q27:Q47" si="11">B27</f>
        <v>楼层</v>
      </c>
      <c r="R27" s="774" t="s">
        <v>17</v>
      </c>
      <c r="S27" s="775">
        <f>F27</f>
        <v>100</v>
      </c>
      <c r="T27" s="774" t="s">
        <v>17</v>
      </c>
      <c r="U27" s="775">
        <f>H27</f>
        <v>100</v>
      </c>
      <c r="V27" s="774" t="s">
        <v>17</v>
      </c>
      <c r="W27" s="775">
        <f>J27</f>
        <v>100</v>
      </c>
      <c r="X27" s="1812"/>
      <c r="Y27" s="3177"/>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5"/>
      <c r="Q28" s="1794" t="str">
        <f t="shared" si="11"/>
        <v>朝向</v>
      </c>
      <c r="R28" s="770" t="s">
        <v>17</v>
      </c>
      <c r="S28" s="771">
        <f>F28</f>
        <v>100</v>
      </c>
      <c r="T28" s="770" t="s">
        <v>17</v>
      </c>
      <c r="U28" s="771">
        <f>H28</f>
        <v>100</v>
      </c>
      <c r="V28" s="770" t="s">
        <v>17</v>
      </c>
      <c r="W28" s="771">
        <f>J28</f>
        <v>100</v>
      </c>
      <c r="X28" s="772"/>
      <c r="Y28" s="317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5"/>
      <c r="Q29" s="1809">
        <f t="shared" si="11"/>
        <v>111</v>
      </c>
      <c r="R29" s="774" t="s">
        <v>17</v>
      </c>
      <c r="S29" s="775">
        <f t="shared" ref="S29:S47" si="12">F29</f>
        <v>100</v>
      </c>
      <c r="T29" s="774" t="s">
        <v>17</v>
      </c>
      <c r="U29" s="775">
        <f t="shared" ref="U29:U47" si="13">H29</f>
        <v>100</v>
      </c>
      <c r="V29" s="774" t="s">
        <v>17</v>
      </c>
      <c r="W29" s="775">
        <f t="shared" ref="W29:W47" si="14">J29</f>
        <v>100</v>
      </c>
      <c r="X29" s="1812"/>
      <c r="Y29" s="317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5"/>
      <c r="Q32" s="1809">
        <f t="shared" si="11"/>
        <v>111</v>
      </c>
      <c r="R32" s="774" t="s">
        <v>17</v>
      </c>
      <c r="S32" s="775">
        <f t="shared" si="12"/>
        <v>100</v>
      </c>
      <c r="T32" s="774" t="s">
        <v>17</v>
      </c>
      <c r="U32" s="775">
        <f t="shared" si="13"/>
        <v>100</v>
      </c>
      <c r="V32" s="774" t="s">
        <v>17</v>
      </c>
      <c r="W32" s="775">
        <f t="shared" si="14"/>
        <v>100</v>
      </c>
      <c r="X32" s="1812"/>
      <c r="Y32" s="3177"/>
      <c r="Z32" s="1813">
        <f t="shared" si="15"/>
        <v>111</v>
      </c>
      <c r="AA32" s="1810">
        <f t="shared" si="3"/>
        <v>1</v>
      </c>
      <c r="AB32" s="1810">
        <f t="shared" si="4"/>
        <v>1</v>
      </c>
      <c r="AC32" s="2676">
        <f t="shared" si="5"/>
        <v>1</v>
      </c>
    </row>
    <row r="33" spans="1:29" ht="15">
      <c r="A33" s="440" t="s">
        <v>2564</v>
      </c>
      <c r="B33" s="71" t="s">
        <v>2694</v>
      </c>
      <c r="C33" s="2681" t="s">
        <v>3083</v>
      </c>
      <c r="D33" s="467">
        <v>100</v>
      </c>
      <c r="E33" s="2681" t="s">
        <v>3083</v>
      </c>
      <c r="F33" s="461">
        <f>SUMIF(101:101,E33,102:102)-SUMIF(101:101,C33,102:102)+100</f>
        <v>100</v>
      </c>
      <c r="G33" s="2681" t="s">
        <v>3083</v>
      </c>
      <c r="H33" s="435">
        <f>SUMIF(101:101,G33,102:102)-SUMIF(101:101,C33,102:102)+100</f>
        <v>100</v>
      </c>
      <c r="I33" s="2681" t="s">
        <v>3083</v>
      </c>
      <c r="J33" s="467">
        <f>SUMIF(101:101,I33,102:102)-SUMIF(101:101,C33,102:102)+100</f>
        <v>100</v>
      </c>
      <c r="K33" s="612">
        <v>1</v>
      </c>
      <c r="L33" s="1139"/>
      <c r="M33" s="1130"/>
      <c r="N33" s="1130"/>
      <c r="O33" s="1130"/>
      <c r="P33" s="3178" t="s">
        <v>2566</v>
      </c>
      <c r="Q33" s="1809" t="str">
        <f t="shared" si="11"/>
        <v>建筑类型</v>
      </c>
      <c r="R33" s="774" t="s">
        <v>17</v>
      </c>
      <c r="S33" s="775">
        <f t="shared" si="12"/>
        <v>100</v>
      </c>
      <c r="T33" s="774" t="s">
        <v>17</v>
      </c>
      <c r="U33" s="775">
        <f t="shared" si="13"/>
        <v>100</v>
      </c>
      <c r="V33" s="774" t="s">
        <v>17</v>
      </c>
      <c r="W33" s="775">
        <f t="shared" si="14"/>
        <v>100</v>
      </c>
      <c r="X33" s="1812"/>
      <c r="Y33" s="3181"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9490.98</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c r="N34" s="1140"/>
      <c r="O34" s="1140"/>
      <c r="P34" s="3179"/>
      <c r="Q34" s="776" t="str">
        <f t="shared" si="11"/>
        <v>项目建筑规模</v>
      </c>
      <c r="R34" s="777" t="s">
        <v>17</v>
      </c>
      <c r="S34" s="778">
        <f t="shared" si="12"/>
        <v>101</v>
      </c>
      <c r="T34" s="777" t="s">
        <v>17</v>
      </c>
      <c r="U34" s="778">
        <f t="shared" si="13"/>
        <v>101</v>
      </c>
      <c r="V34" s="777" t="s">
        <v>17</v>
      </c>
      <c r="W34" s="778">
        <f t="shared" si="14"/>
        <v>102</v>
      </c>
      <c r="X34" s="779"/>
      <c r="Y34" s="3181"/>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1</v>
      </c>
      <c r="L35" s="1139"/>
      <c r="M35" s="1130"/>
      <c r="N35" s="1130"/>
      <c r="O35" s="1130"/>
      <c r="P35" s="3179"/>
      <c r="Q35" s="1809" t="str">
        <f t="shared" si="11"/>
        <v>建筑结构</v>
      </c>
      <c r="R35" s="774" t="s">
        <v>17</v>
      </c>
      <c r="S35" s="775">
        <f t="shared" si="12"/>
        <v>100</v>
      </c>
      <c r="T35" s="774" t="s">
        <v>17</v>
      </c>
      <c r="U35" s="775">
        <f t="shared" si="13"/>
        <v>100</v>
      </c>
      <c r="V35" s="774" t="s">
        <v>17</v>
      </c>
      <c r="W35" s="775">
        <f t="shared" si="14"/>
        <v>100</v>
      </c>
      <c r="X35" s="1812"/>
      <c r="Y35" s="3181"/>
      <c r="Z35" s="1813" t="str">
        <f t="shared" si="15"/>
        <v>建筑结构</v>
      </c>
      <c r="AA35" s="1810">
        <f t="shared" si="3"/>
        <v>1</v>
      </c>
      <c r="AB35" s="1810">
        <f t="shared" si="4"/>
        <v>1</v>
      </c>
      <c r="AC35" s="2676">
        <f t="shared" si="5"/>
        <v>1</v>
      </c>
    </row>
    <row r="36" spans="1:29" ht="15">
      <c r="A36" s="472"/>
      <c r="B36" s="422" t="s">
        <v>2662</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1</v>
      </c>
      <c r="L36" s="1139"/>
      <c r="M36" s="1130"/>
      <c r="N36" s="1130"/>
      <c r="O36" s="1130"/>
      <c r="P36" s="3179"/>
      <c r="Q36" s="1809" t="str">
        <f t="shared" si="11"/>
        <v>公共部分装修</v>
      </c>
      <c r="R36" s="774" t="s">
        <v>17</v>
      </c>
      <c r="S36" s="775">
        <f t="shared" si="12"/>
        <v>100</v>
      </c>
      <c r="T36" s="774" t="s">
        <v>17</v>
      </c>
      <c r="U36" s="775">
        <f t="shared" si="13"/>
        <v>100</v>
      </c>
      <c r="V36" s="774" t="s">
        <v>17</v>
      </c>
      <c r="W36" s="775">
        <f t="shared" si="14"/>
        <v>100</v>
      </c>
      <c r="X36" s="1812"/>
      <c r="Y36" s="3181"/>
      <c r="Z36" s="1813" t="str">
        <f t="shared" si="15"/>
        <v>公共部分装修</v>
      </c>
      <c r="AA36" s="1810">
        <f t="shared" si="3"/>
        <v>1</v>
      </c>
      <c r="AB36" s="1810">
        <f t="shared" si="4"/>
        <v>1</v>
      </c>
      <c r="AC36" s="2676">
        <f t="shared" si="5"/>
        <v>1</v>
      </c>
    </row>
    <row r="37" spans="1:29" ht="15">
      <c r="A37" s="472"/>
      <c r="B37" s="422" t="s">
        <v>2663</v>
      </c>
      <c r="C37" s="474">
        <f>'数据-取费表'!N6</f>
        <v>0.91669999999999996</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c r="N37" s="1130"/>
      <c r="O37" s="1130"/>
      <c r="P37" s="3179"/>
      <c r="Q37" s="1809" t="str">
        <f t="shared" si="11"/>
        <v>成新度</v>
      </c>
      <c r="R37" s="774" t="s">
        <v>17</v>
      </c>
      <c r="S37" s="775">
        <f t="shared" si="12"/>
        <v>98</v>
      </c>
      <c r="T37" s="774" t="s">
        <v>17</v>
      </c>
      <c r="U37" s="775">
        <f t="shared" si="13"/>
        <v>98</v>
      </c>
      <c r="V37" s="774" t="s">
        <v>17</v>
      </c>
      <c r="W37" s="775">
        <f t="shared" si="14"/>
        <v>100</v>
      </c>
      <c r="X37" s="1812"/>
      <c r="Y37" s="3181"/>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3090</v>
      </c>
      <c r="D38" s="136">
        <v>100</v>
      </c>
      <c r="E38" s="460" t="s">
        <v>3090</v>
      </c>
      <c r="F38" s="461">
        <f>SUMIF(113:113,E38,114:114)-SUMIF(113:113,C38,114:114)+100</f>
        <v>100</v>
      </c>
      <c r="G38" s="460" t="s">
        <v>3090</v>
      </c>
      <c r="H38" s="435">
        <f>SUMIF(113:113,G38,114:114)-SUMIF(113:113,C38,114:114)+100</f>
        <v>100</v>
      </c>
      <c r="I38" s="460" t="s">
        <v>3090</v>
      </c>
      <c r="J38" s="435">
        <f>SUMIF(113:113,I38,114:114)-SUMIF(113:113,C38,114:114)+100</f>
        <v>100</v>
      </c>
      <c r="K38" s="612">
        <v>2</v>
      </c>
      <c r="L38" s="1131"/>
      <c r="M38" s="1132"/>
      <c r="N38" s="1132"/>
      <c r="O38" s="1132"/>
      <c r="P38" s="3179"/>
      <c r="Q38" s="1794"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2696</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2</v>
      </c>
      <c r="L39" s="1139"/>
      <c r="M39" s="1130"/>
      <c r="N39" s="1130"/>
      <c r="O39" s="1130"/>
      <c r="P39" s="3179" t="s">
        <v>2566</v>
      </c>
      <c r="Q39" s="1809" t="str">
        <f t="shared" si="11"/>
        <v>物业管理</v>
      </c>
      <c r="R39" s="774" t="s">
        <v>17</v>
      </c>
      <c r="S39" s="775">
        <f t="shared" si="12"/>
        <v>100</v>
      </c>
      <c r="T39" s="774" t="s">
        <v>17</v>
      </c>
      <c r="U39" s="775">
        <f t="shared" si="13"/>
        <v>100</v>
      </c>
      <c r="V39" s="774" t="s">
        <v>17</v>
      </c>
      <c r="W39" s="775">
        <f t="shared" si="14"/>
        <v>100</v>
      </c>
      <c r="X39" s="1812"/>
      <c r="Y39" s="3181" t="s">
        <v>2566</v>
      </c>
      <c r="Z39" s="1813" t="str">
        <f t="shared" si="15"/>
        <v>物业管理</v>
      </c>
      <c r="AA39" s="1810">
        <f t="shared" si="3"/>
        <v>1</v>
      </c>
      <c r="AB39" s="1810">
        <f t="shared" si="4"/>
        <v>1</v>
      </c>
      <c r="AC39" s="2676">
        <f t="shared" si="5"/>
        <v>1</v>
      </c>
    </row>
    <row r="40" spans="1:29" ht="15">
      <c r="A40" s="472"/>
      <c r="B40" s="422" t="s">
        <v>2664</v>
      </c>
      <c r="C40" s="460" t="s">
        <v>3096</v>
      </c>
      <c r="D40" s="435">
        <v>100</v>
      </c>
      <c r="E40" s="460" t="s">
        <v>3096</v>
      </c>
      <c r="F40" s="461">
        <f>SUMIF(117:117,E40,118:118)-SUMIF(117:117,C40,118:118)+100</f>
        <v>100</v>
      </c>
      <c r="G40" s="460" t="s">
        <v>3096</v>
      </c>
      <c r="H40" s="435">
        <f>SUMIF(117:117,G40,118:118)-SUMIF(117:117,C40,118:118)+100</f>
        <v>100</v>
      </c>
      <c r="I40" s="460" t="s">
        <v>3096</v>
      </c>
      <c r="J40" s="435">
        <f>SUMIF(117:117,I40,118:118)-SUMIF(117:117,C40,118:118)+100</f>
        <v>100</v>
      </c>
      <c r="K40" s="612">
        <v>1</v>
      </c>
      <c r="L40" s="1139"/>
      <c r="M40" s="1130"/>
      <c r="N40" s="1130"/>
      <c r="O40" s="1130"/>
      <c r="P40" s="3179"/>
      <c r="Q40" s="1809" t="str">
        <f t="shared" si="11"/>
        <v>市政基础设施</v>
      </c>
      <c r="R40" s="774" t="s">
        <v>17</v>
      </c>
      <c r="S40" s="775">
        <f t="shared" si="12"/>
        <v>100</v>
      </c>
      <c r="T40" s="774" t="s">
        <v>17</v>
      </c>
      <c r="U40" s="775">
        <f t="shared" si="13"/>
        <v>100</v>
      </c>
      <c r="V40" s="774" t="s">
        <v>17</v>
      </c>
      <c r="W40" s="775">
        <f t="shared" si="14"/>
        <v>100</v>
      </c>
      <c r="X40" s="1812"/>
      <c r="Y40" s="3181"/>
      <c r="Z40" s="1813" t="str">
        <f t="shared" si="15"/>
        <v>市政基础设施</v>
      </c>
      <c r="AA40" s="1810">
        <f t="shared" si="3"/>
        <v>1</v>
      </c>
      <c r="AB40" s="1810">
        <f t="shared" si="4"/>
        <v>1</v>
      </c>
      <c r="AC40" s="2676">
        <f t="shared" si="5"/>
        <v>1</v>
      </c>
    </row>
    <row r="41" spans="1:29" ht="15">
      <c r="A41" s="472"/>
      <c r="B41" s="422" t="s">
        <v>2666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79"/>
      <c r="Q41" s="1809" t="str">
        <f t="shared" si="11"/>
        <v>层高</v>
      </c>
      <c r="R41" s="774" t="s">
        <v>17</v>
      </c>
      <c r="S41" s="775">
        <f t="shared" si="12"/>
        <v>100</v>
      </c>
      <c r="T41" s="774" t="s">
        <v>17</v>
      </c>
      <c r="U41" s="775">
        <f t="shared" si="13"/>
        <v>100</v>
      </c>
      <c r="V41" s="774" t="s">
        <v>17</v>
      </c>
      <c r="W41" s="775">
        <f t="shared" si="14"/>
        <v>100</v>
      </c>
      <c r="X41" s="1812"/>
      <c r="Y41" s="3181"/>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0">
        <f t="shared" si="3"/>
        <v>1</v>
      </c>
      <c r="AB42" s="1810">
        <f t="shared" si="4"/>
        <v>1</v>
      </c>
      <c r="AC42" s="2676">
        <f t="shared" si="5"/>
        <v>1</v>
      </c>
    </row>
    <row r="43" spans="1:29" ht="15">
      <c r="A43" s="472"/>
      <c r="B43" s="422" t="s">
        <v>2669</v>
      </c>
      <c r="C43" s="460" t="s">
        <v>3102</v>
      </c>
      <c r="D43" s="435">
        <v>100</v>
      </c>
      <c r="E43" s="460" t="s">
        <v>3102</v>
      </c>
      <c r="F43" s="461">
        <f>SUMIF(123:123,E43,124:124)-SUMIF(123:123,C43,124:124)+100</f>
        <v>100</v>
      </c>
      <c r="G43" s="460" t="s">
        <v>3102</v>
      </c>
      <c r="H43" s="435">
        <f>SUMIF(123:123,G43,124:124)-SUMIF(123:123,C43,124:124)+100</f>
        <v>100</v>
      </c>
      <c r="I43" s="460" t="s">
        <v>3102</v>
      </c>
      <c r="J43" s="435">
        <f>SUMIF(123:123,I43,124:124)-SUMIF(123:123,C43,124:124)+100</f>
        <v>100</v>
      </c>
      <c r="K43" s="612">
        <v>1</v>
      </c>
      <c r="L43" s="1139"/>
      <c r="M43" s="1130"/>
      <c r="N43" s="1130"/>
      <c r="O43" s="1130"/>
      <c r="P43" s="3179"/>
      <c r="Q43" s="1809" t="str">
        <f t="shared" si="11"/>
        <v>内部装修</v>
      </c>
      <c r="R43" s="774" t="s">
        <v>17</v>
      </c>
      <c r="S43" s="775">
        <f t="shared" si="12"/>
        <v>100</v>
      </c>
      <c r="T43" s="774" t="s">
        <v>17</v>
      </c>
      <c r="U43" s="775">
        <f t="shared" si="13"/>
        <v>100</v>
      </c>
      <c r="V43" s="774" t="s">
        <v>17</v>
      </c>
      <c r="W43" s="775">
        <f t="shared" si="14"/>
        <v>100</v>
      </c>
      <c r="X43" s="1812"/>
      <c r="Y43" s="3181"/>
      <c r="Z43" s="1813" t="str">
        <f t="shared" si="15"/>
        <v>内部装修</v>
      </c>
      <c r="AA43" s="1810">
        <f t="shared" si="3"/>
        <v>1</v>
      </c>
      <c r="AB43" s="1810">
        <f t="shared" si="4"/>
        <v>1</v>
      </c>
      <c r="AC43" s="2676">
        <f t="shared" si="5"/>
        <v>1</v>
      </c>
    </row>
    <row r="44" spans="1:29" ht="15">
      <c r="A44" s="472"/>
      <c r="B44" s="422" t="s">
        <v>2577</v>
      </c>
      <c r="C44" s="460" t="s">
        <v>3077</v>
      </c>
      <c r="D44" s="435">
        <v>100</v>
      </c>
      <c r="E44" s="2615" t="s">
        <v>3077</v>
      </c>
      <c r="F44" s="461">
        <f>SUMIF(125:125,E44,126:126)-SUMIF(125:125,C44,126:126)+100</f>
        <v>100</v>
      </c>
      <c r="G44" s="2615" t="s">
        <v>3077</v>
      </c>
      <c r="H44" s="435">
        <f>SUMIF(125:125,G44,126:126)-SUMIF(125:125,C44,126:126)+100</f>
        <v>100</v>
      </c>
      <c r="I44" s="2615" t="s">
        <v>3077</v>
      </c>
      <c r="J44" s="435">
        <f>SUMIF(125:125,I44,126:126)-SUMIF(125:125,C44,126:126)+100</f>
        <v>100</v>
      </c>
      <c r="K44" s="612">
        <v>1</v>
      </c>
      <c r="L44" s="1139"/>
      <c r="M44" s="1130"/>
      <c r="N44" s="1130"/>
      <c r="O44" s="1130"/>
      <c r="P44" s="3179"/>
      <c r="Q44" s="1809" t="str">
        <f t="shared" si="11"/>
        <v>内部装修维护情况</v>
      </c>
      <c r="R44" s="774" t="s">
        <v>17</v>
      </c>
      <c r="S44" s="775">
        <f t="shared" si="12"/>
        <v>100</v>
      </c>
      <c r="T44" s="774" t="s">
        <v>17</v>
      </c>
      <c r="U44" s="775">
        <f t="shared" si="13"/>
        <v>100</v>
      </c>
      <c r="V44" s="774" t="s">
        <v>17</v>
      </c>
      <c r="W44" s="775">
        <f t="shared" si="14"/>
        <v>100</v>
      </c>
      <c r="X44" s="1812"/>
      <c r="Y44" s="318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9"/>
      <c r="Q45" s="1794">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9"/>
      <c r="Q46" s="1809">
        <f t="shared" si="11"/>
        <v>111</v>
      </c>
      <c r="R46" s="774" t="s">
        <v>17</v>
      </c>
      <c r="S46" s="775">
        <f t="shared" si="12"/>
        <v>100</v>
      </c>
      <c r="T46" s="774" t="s">
        <v>17</v>
      </c>
      <c r="U46" s="775">
        <f t="shared" si="13"/>
        <v>100</v>
      </c>
      <c r="V46" s="774" t="s">
        <v>17</v>
      </c>
      <c r="W46" s="775">
        <f t="shared" si="14"/>
        <v>100</v>
      </c>
      <c r="X46" s="1812"/>
      <c r="Y46" s="318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0"/>
      <c r="Q47" s="1809">
        <f t="shared" si="11"/>
        <v>111</v>
      </c>
      <c r="R47" s="774" t="s">
        <v>17</v>
      </c>
      <c r="S47" s="775">
        <f t="shared" si="12"/>
        <v>100</v>
      </c>
      <c r="T47" s="774" t="s">
        <v>17</v>
      </c>
      <c r="U47" s="775">
        <f t="shared" si="13"/>
        <v>100</v>
      </c>
      <c r="V47" s="774" t="s">
        <v>17</v>
      </c>
      <c r="W47" s="775">
        <f t="shared" si="14"/>
        <v>100</v>
      </c>
      <c r="X47" s="1812"/>
      <c r="Y47" s="3182"/>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68" t="str">
        <f>A48</f>
        <v>成交单价（元/平方米）</v>
      </c>
      <c r="Q48" s="3169"/>
      <c r="R48" s="3170">
        <f>E48</f>
        <v>42000</v>
      </c>
      <c r="S48" s="3170"/>
      <c r="T48" s="3170">
        <f>G48</f>
        <v>40000</v>
      </c>
      <c r="U48" s="3170"/>
      <c r="V48" s="3170">
        <f>I48</f>
        <v>46666</v>
      </c>
      <c r="W48" s="3170"/>
      <c r="X48" s="446"/>
      <c r="Y48" s="781"/>
      <c r="Z48" s="446"/>
      <c r="AA48" s="446"/>
      <c r="AB48" s="446"/>
      <c r="AC48" s="630"/>
    </row>
    <row r="49" spans="1:29" ht="15.75" thickBot="1">
      <c r="A49" s="486" t="s">
        <v>2670</v>
      </c>
      <c r="B49" s="487"/>
      <c r="C49" s="1412">
        <f>R50</f>
        <v>43019</v>
      </c>
      <c r="D49" s="1413"/>
      <c r="E49" s="1414">
        <f>R49</f>
        <v>42433</v>
      </c>
      <c r="F49" s="1414"/>
      <c r="G49" s="1412">
        <f>T49</f>
        <v>40412</v>
      </c>
      <c r="H49" s="1413"/>
      <c r="I49" s="1414">
        <f>V49</f>
        <v>46213</v>
      </c>
      <c r="J49" s="489"/>
      <c r="K49" s="784"/>
      <c r="L49" s="1142"/>
      <c r="M49" s="1130"/>
      <c r="N49" s="1130"/>
      <c r="O49" s="1130"/>
      <c r="P49" s="3168" t="str">
        <f>A49</f>
        <v>比较价值（元/平方米）</v>
      </c>
      <c r="Q49" s="3169"/>
      <c r="R49" s="3170">
        <f>IF(F1="售价",ROUND(PRODUCT(R48,AA7:AA47),0),ROUND(PRODUCT(R48,AA7:AA47),1))</f>
        <v>42433</v>
      </c>
      <c r="S49" s="3170"/>
      <c r="T49" s="3170">
        <f>IF(F1="售价",ROUND(PRODUCT(T48,AB7:AB47),0),ROUND(PRODUCT(T48,AB7:AB47),1))</f>
        <v>40412</v>
      </c>
      <c r="U49" s="3170"/>
      <c r="V49" s="3170">
        <f>IF(F1="售价",ROUND(PRODUCT(V48,AC7:AC47),0),ROUND(PRODUCT(V48,AC7:AC47),1))</f>
        <v>46213</v>
      </c>
      <c r="W49" s="3170"/>
      <c r="X49" s="446"/>
      <c r="Y49" s="446"/>
      <c r="Z49" s="446"/>
      <c r="AA49" s="446"/>
      <c r="AB49" s="446"/>
      <c r="AC49" s="630"/>
    </row>
    <row r="50" spans="1:29" ht="15.75" thickBot="1">
      <c r="A50" s="492" t="s">
        <v>2671</v>
      </c>
      <c r="B50" s="493"/>
      <c r="C50" s="1416">
        <f>R50</f>
        <v>43019</v>
      </c>
      <c r="D50" s="1416"/>
      <c r="E50" s="1416"/>
      <c r="F50" s="1416"/>
      <c r="G50" s="1416"/>
      <c r="H50" s="1416"/>
      <c r="I50" s="1416"/>
      <c r="J50" s="494"/>
      <c r="K50" s="785"/>
      <c r="L50" s="1142"/>
      <c r="M50" s="1130"/>
      <c r="N50" s="1130"/>
      <c r="O50" s="1130"/>
      <c r="P50" s="3171" t="str">
        <f>A50</f>
        <v>估价对象XX用房的比较价值（楼面单价，元/平方米）</v>
      </c>
      <c r="Q50" s="3172"/>
      <c r="R50" s="3173">
        <f>IF(F1="售价",ROUND(AVERAGE(R49:V49),0),ROUND(AVERAGE(R49:V49),1))</f>
        <v>43019</v>
      </c>
      <c r="S50" s="3173"/>
      <c r="T50" s="3173"/>
      <c r="U50" s="3173"/>
      <c r="V50" s="3173"/>
      <c r="W50" s="3173"/>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1.0309523809523879E-2</v>
      </c>
      <c r="F53" s="500" t="str">
        <f>IF(OR(E53&gt;=0.3,E53&lt;=-0.3),"超过30%","")</f>
        <v/>
      </c>
      <c r="G53" s="499">
        <f>IF(G48&lt;G49,G49/G48-1,G48/G49-1)</f>
        <v>1.0299999999999976E-2</v>
      </c>
      <c r="H53" s="500" t="str">
        <f>IF(OR(G53&gt;=0.3,G53&lt;=-0.3),"超过30%","")</f>
        <v/>
      </c>
      <c r="I53" s="499">
        <f>IF(I48&lt;I49,I49/I48-1,I48/I49-1)</f>
        <v>9.8024365438296179E-3</v>
      </c>
      <c r="J53" s="500" t="str">
        <f>IF(OR(I53&gt;=0.3,I53&lt;=-0.3),"超过30%","")</f>
        <v/>
      </c>
      <c r="K53" s="1104"/>
      <c r="L53" s="1105"/>
      <c r="M53" s="1143"/>
      <c r="N53" s="1143"/>
      <c r="O53" s="1143"/>
    </row>
    <row r="54" spans="1:29" ht="13.5" customHeight="1">
      <c r="A54" s="1143"/>
      <c r="B54" s="1143"/>
      <c r="C54" s="497" t="s">
        <v>2673</v>
      </c>
      <c r="D54" s="501"/>
      <c r="E54" s="499">
        <f>IF(E49&lt;G49,G49/E49-1,E49/G49-1)</f>
        <v>5.0009898050084045E-2</v>
      </c>
      <c r="F54" s="500" t="str">
        <f>IF(OR(E54&gt;=0.2,E54&lt;=-0.2),"超过20%","")</f>
        <v/>
      </c>
      <c r="G54" s="499">
        <f>IF(G49&lt;I49,I49/G49-1,G49/I49-1)</f>
        <v>0.14354647134514509</v>
      </c>
      <c r="H54" s="500" t="str">
        <f>IF(OR(G54&gt;=0.2,G54&lt;=-0.2),"超过20%","")</f>
        <v/>
      </c>
      <c r="I54" s="499">
        <f>IF(I49&lt;E49,E49/I49-1,I49/E49-1)</f>
        <v>8.9081611010298545E-2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3079</v>
      </c>
      <c r="D87" s="2975" t="s">
        <v>3080</v>
      </c>
      <c r="E87" s="2975" t="s">
        <v>3081</v>
      </c>
      <c r="F87" s="2975" t="s">
        <v>3082</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6" t="s">
        <v>3084</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3086</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3087</v>
      </c>
      <c r="D108" s="2975" t="s">
        <v>3089</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3091</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3093</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3094</v>
      </c>
      <c r="D117" s="2975" t="s">
        <v>3095</v>
      </c>
      <c r="E117" s="2975" t="s">
        <v>3097</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7" t="s">
        <v>3098</v>
      </c>
      <c r="D119" s="2977" t="s">
        <v>3100</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3087</v>
      </c>
      <c r="D123" s="2975" t="s">
        <v>3089</v>
      </c>
      <c r="E123" s="2975" t="s">
        <v>3101</v>
      </c>
      <c r="F123" s="2977" t="s">
        <v>3103</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2" t="str">
        <f>项目基本情况!B1</f>
        <v>北京市房地产抵押价值预评估</v>
      </c>
      <c r="C37" s="2982"/>
      <c r="D37" s="2982"/>
      <c r="E37" s="2982"/>
      <c r="F37" s="2982"/>
      <c r="G37" s="2982"/>
      <c r="H37" s="2982"/>
      <c r="I37" s="2982"/>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D20" sqref="D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1" t="s">
        <v>3007</v>
      </c>
      <c r="D1" s="3222"/>
      <c r="E1" s="3222"/>
      <c r="F1" s="3222"/>
      <c r="G1" s="3222"/>
      <c r="H1" s="3222"/>
      <c r="I1" s="3222"/>
      <c r="J1" s="3222"/>
      <c r="K1" s="3222"/>
      <c r="L1" s="3222"/>
      <c r="M1" s="3222"/>
      <c r="N1" s="3222"/>
      <c r="O1" s="3222"/>
      <c r="P1" s="3222"/>
      <c r="Q1" s="3222"/>
      <c r="R1" s="3222"/>
      <c r="S1" s="3223"/>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111502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43019</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25919.38</v>
      </c>
      <c r="C22" s="3163" t="s">
        <v>33</v>
      </c>
      <c r="D22" s="3164"/>
      <c r="E22" s="3164"/>
      <c r="F22" s="3164"/>
      <c r="G22" s="3164"/>
      <c r="H22" s="3164"/>
      <c r="I22" s="3164"/>
      <c r="J22" s="3164"/>
      <c r="K22" s="3164"/>
      <c r="L22" s="3164"/>
      <c r="M22" s="3164"/>
      <c r="N22" s="3164"/>
      <c r="O22" s="3164"/>
      <c r="P22" s="3164"/>
      <c r="Q22" s="3220"/>
      <c r="R22" s="716">
        <f>ROUND(S22*10000/B22,0)</f>
        <v>43019</v>
      </c>
      <c r="S22" s="24">
        <f>SUM(S24:S10000)</f>
        <v>111502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43019</v>
      </c>
      <c r="S24" s="719">
        <f t="shared" ref="S24:S54" si="11">ROUND(R24*B24/10000,0)</f>
        <v>40829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43019</v>
      </c>
      <c r="S25" s="361">
        <f t="shared" si="11"/>
        <v>43002</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43019</v>
      </c>
      <c r="S26" s="361">
        <f t="shared" si="11"/>
        <v>27671</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19282</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4669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52"/>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3232491</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3232491</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24049669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131341977</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119758740</v>
      </c>
      <c r="D34" s="261"/>
      <c r="E34" s="264"/>
      <c r="F34" s="301"/>
      <c r="G34" s="263"/>
    </row>
    <row r="35" spans="1:7" ht="13.5" customHeight="1">
      <c r="A35" s="950" t="s">
        <v>796</v>
      </c>
      <c r="B35" s="259" t="s">
        <v>2393</v>
      </c>
      <c r="C35" s="264">
        <f ca="1">ROUND(C34*F35,0)</f>
        <v>3592762</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6194094</v>
      </c>
      <c r="D37" s="261">
        <f ca="1">D19</f>
        <v>41293.960000000006</v>
      </c>
      <c r="E37" s="293">
        <f>'数据-取费表'!B35</f>
        <v>150</v>
      </c>
      <c r="F37" s="303"/>
      <c r="G37" s="305"/>
    </row>
    <row r="38" spans="1:7" ht="13.5" customHeight="1">
      <c r="A38" s="950" t="s">
        <v>799</v>
      </c>
      <c r="B38" s="259" t="s">
        <v>2399</v>
      </c>
      <c r="C38" s="264">
        <f ca="1">ROUND(C34*F38,0)</f>
        <v>1796381</v>
      </c>
      <c r="D38" s="264"/>
      <c r="E38" s="264"/>
      <c r="F38" s="303">
        <f>'数据-取费表'!B36</f>
        <v>1.4999999999999999E-2</v>
      </c>
      <c r="G38" s="263" t="s">
        <v>2394</v>
      </c>
    </row>
    <row r="39" spans="1:7" s="258" customFormat="1" ht="13.5" customHeight="1">
      <c r="A39" s="299" t="s">
        <v>2400</v>
      </c>
      <c r="B39" s="254" t="s">
        <v>2401</v>
      </c>
      <c r="C39" s="276">
        <f ca="1">ROUND(C33*F20,0)</f>
        <v>3940259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6425906</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6238744</v>
      </c>
      <c r="D42" s="282"/>
      <c r="E42" s="282"/>
      <c r="F42" s="283"/>
      <c r="G42" s="3224" t="s">
        <v>2457</v>
      </c>
    </row>
    <row r="43" spans="1:7" ht="13.5" customHeight="1">
      <c r="A43" s="950" t="s">
        <v>792</v>
      </c>
      <c r="B43" s="259" t="s">
        <v>2411</v>
      </c>
      <c r="C43" s="282">
        <f ca="1">ROUND(IF('数据-取费表'!B22&lt;=1,C39*F22*'数据-取费表'!B20/2,C39*(POWER((1+F22),'数据-取费表'!B20/2)-1)),0)</f>
        <v>187162</v>
      </c>
      <c r="D43" s="282"/>
      <c r="E43" s="282"/>
      <c r="F43" s="283"/>
      <c r="G43" s="3225"/>
    </row>
    <row r="44" spans="1:7" ht="13.5" customHeight="1">
      <c r="A44" s="950" t="s">
        <v>793</v>
      </c>
      <c r="B44" s="259" t="s">
        <v>2412</v>
      </c>
      <c r="C44" s="282">
        <f ca="1">ROUND(IF('数据-取费表'!B22&lt;=1,C40*F22*'数据-取费表'!B20/2,C40*(POWER((1+F22),'数据-取费表'!B20/2)-1)),4)</f>
        <v>1.4E-3</v>
      </c>
      <c r="D44" s="282"/>
      <c r="E44" s="282"/>
      <c r="F44" s="283"/>
      <c r="G44" s="3226"/>
    </row>
    <row r="45" spans="1:7" s="258" customFormat="1" ht="13.5" customHeight="1">
      <c r="A45" s="299" t="s">
        <v>2413</v>
      </c>
      <c r="B45" s="288" t="s">
        <v>2379</v>
      </c>
      <c r="C45" s="289">
        <f ca="1">C46</f>
        <v>25703625</v>
      </c>
      <c r="D45" s="279">
        <f ca="1">C47</f>
        <v>5.7000000000000002E-3</v>
      </c>
      <c r="E45" s="280" t="s">
        <v>2405</v>
      </c>
      <c r="F45" s="290"/>
      <c r="G45" s="291" t="s">
        <v>2414</v>
      </c>
    </row>
    <row r="46" spans="1:7" s="258" customFormat="1" ht="13.5" customHeight="1">
      <c r="A46" s="950" t="s">
        <v>791</v>
      </c>
      <c r="B46" s="292" t="s">
        <v>2415</v>
      </c>
      <c r="C46" s="293">
        <f ca="1">ROUND((C33+C39)*F27,0)</f>
        <v>25703625</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184049876</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168773736</v>
      </c>
      <c r="D51" s="276"/>
      <c r="E51" s="276"/>
      <c r="F51" s="308"/>
      <c r="G51" s="278" t="s">
        <v>2426</v>
      </c>
    </row>
    <row r="52" spans="1:7" s="252" customFormat="1" ht="16.5" thickBot="1">
      <c r="A52" s="309" t="s">
        <v>2427</v>
      </c>
      <c r="B52" s="310"/>
      <c r="C52" s="311">
        <f ca="1">C31+C51</f>
        <v>192823405</v>
      </c>
      <c r="D52" s="310"/>
      <c r="E52" s="310"/>
      <c r="F52" s="310"/>
      <c r="G52" s="312"/>
    </row>
    <row r="55" spans="1:7" ht="15">
      <c r="B55" s="314" t="s">
        <v>2428</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-984</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41293.960000000006</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826</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162</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162</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-984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129637</v>
      </c>
      <c r="C2" s="1844" t="s">
        <v>1512</v>
      </c>
      <c r="D2" s="1844"/>
      <c r="E2" s="1845"/>
      <c r="F2" s="1846"/>
      <c r="G2" s="1847"/>
      <c r="H2" s="1839"/>
      <c r="I2" s="1839"/>
      <c r="J2" s="1839"/>
      <c r="K2" s="1840"/>
      <c r="L2" s="1839"/>
      <c r="M2" s="1839"/>
    </row>
    <row r="3" spans="1:37" ht="18" customHeight="1" thickBot="1">
      <c r="A3" s="1848" t="s">
        <v>1513</v>
      </c>
      <c r="B3" s="1849">
        <f ca="1">IF(ISERROR(B2*10000/F43),0,ROUND(B2*10000/F43,0))</f>
        <v>50015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5849</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5842</v>
      </c>
      <c r="D6" s="164" t="s">
        <v>3032</v>
      </c>
      <c r="E6" s="347" t="s">
        <v>1401</v>
      </c>
      <c r="F6" s="348">
        <f ca="1">INDIRECT("'数据-取费表'!u"&amp;$G$1)</f>
        <v>6.5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25919.38</v>
      </c>
      <c r="G7" s="1850"/>
      <c r="H7" s="349"/>
      <c r="I7" s="3230"/>
      <c r="J7" s="351"/>
      <c r="K7" s="352"/>
      <c r="L7" s="347" t="s">
        <v>1402</v>
      </c>
      <c r="M7" s="348">
        <f ca="1">F7</f>
        <v>25919.38</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11029</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7776</v>
      </c>
      <c r="D14" s="1799" t="s">
        <v>1414</v>
      </c>
      <c r="E14" s="1793"/>
      <c r="F14" s="364"/>
      <c r="G14" s="1850"/>
      <c r="H14" s="1200" t="s">
        <v>1032</v>
      </c>
      <c r="I14" s="347" t="s">
        <v>1415</v>
      </c>
      <c r="J14" s="24">
        <f ca="1">C29</f>
        <v>12031</v>
      </c>
      <c r="K14" s="15"/>
      <c r="L14" s="978"/>
      <c r="M14" s="979"/>
    </row>
    <row r="15" spans="1:37" s="1857" customFormat="1" ht="18" customHeight="1" thickBot="1">
      <c r="A15" s="1200" t="s">
        <v>1033</v>
      </c>
      <c r="B15" s="347" t="s">
        <v>1416</v>
      </c>
      <c r="C15" s="24">
        <f ca="1">ROUND(C14*F15,0)</f>
        <v>233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292</v>
      </c>
      <c r="K16" s="1336" t="s">
        <v>1421</v>
      </c>
      <c r="L16" s="1337"/>
      <c r="M16" s="1293"/>
    </row>
    <row r="17" spans="1:37" s="1857" customFormat="1" ht="18" customHeight="1">
      <c r="A17" s="1200" t="s">
        <v>1386</v>
      </c>
      <c r="B17" s="347" t="s">
        <v>1422</v>
      </c>
      <c r="C17" s="24">
        <f ca="1">ROUND(F17*(F43+INDIRECT("'数据-取费表'!S"&amp;$G$1))/10000,0)</f>
        <v>389</v>
      </c>
      <c r="D17" s="347" t="s">
        <v>1423</v>
      </c>
      <c r="E17" s="347" t="s">
        <v>1424</v>
      </c>
      <c r="F17" s="26">
        <f>'数据-取费表'!B35</f>
        <v>150</v>
      </c>
      <c r="G17" s="1853"/>
      <c r="H17" s="1200" t="s">
        <v>1032</v>
      </c>
      <c r="I17" s="347" t="s">
        <v>1425</v>
      </c>
      <c r="J17" s="24">
        <f ca="1">ROUND(IF(项目基本情况!B11="自然人",J5*M17,J18+J19+J20),1)</f>
        <v>111.1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117</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8515</v>
      </c>
      <c r="D19" s="140" t="s">
        <v>1432</v>
      </c>
      <c r="E19" s="1817"/>
      <c r="F19" s="26"/>
      <c r="G19" s="1850"/>
      <c r="H19" s="1200" t="s">
        <v>1033</v>
      </c>
      <c r="I19" s="347" t="s">
        <v>1433</v>
      </c>
      <c r="J19" s="24">
        <f ca="1">IF(K19="按租金收入计税",ROUND(J5*M19,2),ROUND(C29*M19*0.7,2))</f>
        <v>101.06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255</v>
      </c>
      <c r="D20" s="369" t="s">
        <v>1436</v>
      </c>
      <c r="E20" s="347" t="s">
        <v>1418</v>
      </c>
      <c r="F20" s="367">
        <f>'数据-取费表'!B37</f>
        <v>0.03</v>
      </c>
      <c r="G20" s="1853"/>
      <c r="H20" s="1200" t="s">
        <v>1385</v>
      </c>
      <c r="I20" s="164" t="s">
        <v>1437</v>
      </c>
      <c r="J20" s="25">
        <f ca="1">ROUND(M20*M21/10000,2)</f>
        <v>10.029999999999999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180.5</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416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-292</v>
      </c>
      <c r="K25" s="1344" t="s">
        <v>1460</v>
      </c>
      <c r="L25" s="1345"/>
      <c r="M25" s="1346"/>
    </row>
    <row r="26" spans="1:37">
      <c r="A26" s="1200" t="s">
        <v>1031</v>
      </c>
      <c r="B26" s="347" t="s">
        <v>1461</v>
      </c>
      <c r="C26" s="24">
        <f ca="1">ROUND((C19+C20)*F26,0)</f>
        <v>1754</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12031</v>
      </c>
      <c r="D29" s="1341"/>
      <c r="E29" s="1339"/>
      <c r="F29" s="1342"/>
      <c r="G29" s="1853"/>
      <c r="H29" s="380" t="s">
        <v>1030</v>
      </c>
      <c r="I29" s="381" t="s">
        <v>1475</v>
      </c>
      <c r="J29" s="382">
        <f ca="1">ROUND(J26/(1+F40)^F41,0)</f>
        <v>0</v>
      </c>
      <c r="K29" s="383" t="s">
        <v>1476</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1338</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1023.9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311.95</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701.88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10.029999999999999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8357.9599999999991</v>
      </c>
      <c r="G35" s="1850"/>
      <c r="H35" s="745"/>
      <c r="I35" s="1859"/>
      <c r="J35" s="1860"/>
      <c r="K35" s="1861"/>
      <c r="L35" s="1858"/>
      <c r="M35" s="1858"/>
    </row>
    <row r="36" spans="1:18" ht="18" customHeight="1">
      <c r="A36" s="1351" t="s">
        <v>1036</v>
      </c>
      <c r="B36" s="347" t="s">
        <v>1445</v>
      </c>
      <c r="C36" s="24">
        <f ca="1">ROUND(C29*F36,1)</f>
        <v>180.5</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16.5</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117</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4511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124825</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48159</v>
      </c>
      <c r="D43" s="383" t="s">
        <v>1484</v>
      </c>
      <c r="E43" s="384" t="s">
        <v>1485</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-144648</v>
      </c>
      <c r="D46" s="1871" t="str">
        <f>C2</f>
        <v>万元</v>
      </c>
      <c r="E46" s="1865"/>
      <c r="F46" s="1865"/>
      <c r="I46" s="1872" t="s">
        <v>1517</v>
      </c>
      <c r="J46" s="1873"/>
      <c r="K46" s="1874"/>
      <c r="L46" s="1875">
        <f ca="1">IF(M47="住宅",0,IF(L48&gt;J51,L60,J60))</f>
        <v>4812</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124825</v>
      </c>
      <c r="R47" s="1885" t="s">
        <v>1525</v>
      </c>
    </row>
    <row r="48" spans="1:18" s="1841" customFormat="1" ht="28.5" thickBot="1">
      <c r="A48" s="1359" t="s">
        <v>1132</v>
      </c>
      <c r="B48" s="345" t="s">
        <v>1397</v>
      </c>
      <c r="C48" s="1816">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4812</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12031</v>
      </c>
      <c r="R49" s="1885" t="s">
        <v>1525</v>
      </c>
    </row>
    <row r="50" spans="1:18" s="1841" customFormat="1" ht="13.5" thickBot="1">
      <c r="A50" s="1194"/>
      <c r="B50" s="1197"/>
      <c r="C50" s="1367"/>
      <c r="D50" s="1171"/>
      <c r="E50" s="1276" t="s">
        <v>1402</v>
      </c>
      <c r="F50" s="1277">
        <f ca="1">F7</f>
        <v>25919.38</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59662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129637</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11029</v>
      </c>
      <c r="D56" s="1913"/>
      <c r="E56" s="1914"/>
      <c r="F56" s="1906"/>
      <c r="I56" s="1915" t="s">
        <v>1550</v>
      </c>
      <c r="J56" s="1916" t="s">
        <v>3126</v>
      </c>
      <c r="K56" s="1886" t="s">
        <v>1551</v>
      </c>
      <c r="L56" s="1889" t="str">
        <f ca="1">IF(L48&lt;J51,"——",L48-J53)</f>
        <v>——</v>
      </c>
      <c r="O56" s="1883" t="s">
        <v>1037</v>
      </c>
      <c r="P56" s="1884" t="s">
        <v>1524</v>
      </c>
      <c r="Q56" s="1885">
        <f ca="1">C40+J29</f>
        <v>124825</v>
      </c>
      <c r="R56" s="1885" t="s">
        <v>1525</v>
      </c>
    </row>
    <row r="57" spans="1:18" s="1841" customFormat="1" ht="24.75" thickBot="1">
      <c r="A57" s="1917"/>
      <c r="B57" s="1168" t="s">
        <v>1474</v>
      </c>
      <c r="C57" s="282">
        <f ca="1">C29</f>
        <v>12031</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1218</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1020.6</v>
      </c>
      <c r="D59" s="1181" t="s">
        <v>1426</v>
      </c>
      <c r="E59" s="1182" t="s">
        <v>1427</v>
      </c>
      <c r="F59" s="368" t="str">
        <f ca="1">IF(项目基本情况!B11="企业","",IF(INDIRECT("'数据-取费表'!c"&amp;$G$1)="住宅",5%,IF(F49*F50*F51/12/(1+'数据-取费表'!C42)&gt;20000,12%,7%)))</f>
        <v/>
      </c>
      <c r="I59" s="1921" t="s">
        <v>1559</v>
      </c>
      <c r="J59" s="1922">
        <f ca="1">IF(OR(M47="住宅",J51&lt;L48,J56="是"),"——",ROUND(C29*J58,0))</f>
        <v>4812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4812</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1010.6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10.029999999999999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124825</v>
      </c>
      <c r="R62" s="1885" t="s">
        <v>1044</v>
      </c>
    </row>
    <row r="63" spans="1:18" s="1841" customFormat="1" ht="13.5" thickBot="1">
      <c r="A63" s="372"/>
      <c r="B63" s="1174"/>
      <c r="C63" s="29"/>
      <c r="D63" s="1184"/>
      <c r="E63" s="1168" t="s">
        <v>1495</v>
      </c>
      <c r="F63" s="348">
        <f t="shared" ca="1" si="0"/>
        <v>8357.9599999999991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180.5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16.5</v>
      </c>
      <c r="D65" s="1182" t="s">
        <v>1450</v>
      </c>
      <c r="E65" s="1168" t="s">
        <v>1451</v>
      </c>
      <c r="F65" s="376">
        <f t="shared" ca="1" si="0"/>
        <v>1.5E-3</v>
      </c>
      <c r="I65" s="1928" t="s">
        <v>1575</v>
      </c>
      <c r="J65" s="1929">
        <v>40</v>
      </c>
      <c r="K65" s="1929">
        <v>30</v>
      </c>
      <c r="L65" s="1929">
        <v>50</v>
      </c>
      <c r="M65" s="1931">
        <v>0.02</v>
      </c>
      <c r="O65" s="1883" t="s">
        <v>1037</v>
      </c>
      <c r="P65" s="1884" t="s">
        <v>1576</v>
      </c>
      <c r="Q65" s="1885">
        <f ca="1">C40+J29</f>
        <v>124825</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-1218</v>
      </c>
      <c r="D67" s="1181" t="s">
        <v>1460</v>
      </c>
      <c r="E67" s="1186"/>
      <c r="F67" s="1187"/>
      <c r="O67" s="1893" t="s">
        <v>1039</v>
      </c>
      <c r="P67" s="1884" t="s">
        <v>1558</v>
      </c>
      <c r="Q67" s="1932">
        <f ca="1">L51</f>
        <v>59662</v>
      </c>
      <c r="R67" s="1885" t="s">
        <v>1578</v>
      </c>
    </row>
    <row r="68" spans="1:18" s="1841" customFormat="1" ht="16.5" thickBot="1">
      <c r="A68" s="1165" t="s">
        <v>1029</v>
      </c>
      <c r="B68" s="1166" t="s">
        <v>1481</v>
      </c>
      <c r="C68" s="346">
        <f ca="1">ROUND(C67*(1-((1+F70)/(1+F68))^F69)/(F68-F70),0)</f>
        <v>-19823</v>
      </c>
      <c r="D68" s="1183" t="s">
        <v>1465</v>
      </c>
      <c r="E68" s="1168" t="s">
        <v>1466</v>
      </c>
      <c r="F68" s="357">
        <f ca="1">F40</f>
        <v>5.5E-2</v>
      </c>
      <c r="O68" s="1893" t="s">
        <v>1040</v>
      </c>
      <c r="P68" s="1933" t="s">
        <v>1579</v>
      </c>
      <c r="Q68" s="1885">
        <f ca="1">ROUND(Q69-Q70*Q71,0)</f>
        <v>3518</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4511</v>
      </c>
      <c r="R69" s="1885" t="s">
        <v>1525</v>
      </c>
    </row>
    <row r="70" spans="1:18" s="1841" customFormat="1" ht="13.5" thickBot="1">
      <c r="A70" s="1172"/>
      <c r="B70" s="1173"/>
      <c r="C70" s="355"/>
      <c r="D70" s="1184"/>
      <c r="E70" s="1168" t="s">
        <v>1473</v>
      </c>
      <c r="F70" s="1274"/>
      <c r="O70" s="1893" t="s">
        <v>1046</v>
      </c>
      <c r="P70" s="1933" t="s">
        <v>1581</v>
      </c>
      <c r="Q70" s="1885">
        <f ca="1">C13</f>
        <v>11029</v>
      </c>
      <c r="R70" s="1885" t="s">
        <v>1525</v>
      </c>
    </row>
    <row r="71" spans="1:18" s="1841" customFormat="1" ht="13.5" thickBot="1">
      <c r="A71" s="1189" t="s">
        <v>1030</v>
      </c>
      <c r="B71" s="1190" t="s">
        <v>1483</v>
      </c>
      <c r="C71" s="382">
        <f ca="1">ROUND(C68*10000/F71,0)</f>
        <v>-7648</v>
      </c>
      <c r="D71" s="1191" t="s">
        <v>1484</v>
      </c>
      <c r="E71" s="1192" t="s">
        <v>1485</v>
      </c>
      <c r="F71" s="385">
        <f ca="1">F43</f>
        <v>25919.38</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993</v>
      </c>
      <c r="D75" s="1841"/>
      <c r="E75" s="1841"/>
      <c r="F75" s="1841"/>
      <c r="K75" s="1867"/>
      <c r="L75" s="1841"/>
      <c r="O75" s="1883" t="s">
        <v>1043</v>
      </c>
      <c r="P75" s="1884" t="s">
        <v>1545</v>
      </c>
      <c r="Q75" s="1885">
        <f ca="1">Q65+Q66</f>
        <v>124825</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9" t="s">
        <v>1399</v>
      </c>
      <c r="C6" s="1295">
        <f ca="1">ROUND(F6*F8*F7*(1-F9),0)</f>
        <v>0</v>
      </c>
      <c r="D6" s="164" t="s">
        <v>3029</v>
      </c>
      <c r="E6" s="347" t="s">
        <v>1401</v>
      </c>
      <c r="F6" s="348">
        <f ca="1">INDIRECT("'数据-取费表'!u"&amp;$G$1)</f>
        <v>0</v>
      </c>
      <c r="G6" s="1850"/>
      <c r="H6" s="1290" t="s">
        <v>1032</v>
      </c>
      <c r="I6" s="3229" t="s">
        <v>1399</v>
      </c>
      <c r="J6" s="346">
        <f ca="1">ROUND(M6*M8*M7*(1-M9),0)</f>
        <v>0</v>
      </c>
      <c r="K6" s="1833" t="s">
        <v>3030</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0</v>
      </c>
      <c r="G7" s="1850"/>
      <c r="H7" s="349"/>
      <c r="I7" s="3230"/>
      <c r="J7" s="351"/>
      <c r="K7" s="352"/>
      <c r="L7" s="347" t="s">
        <v>1402</v>
      </c>
      <c r="M7" s="348">
        <f ca="1">F7</f>
        <v>0</v>
      </c>
    </row>
    <row r="8" spans="1:37" ht="18" customHeight="1">
      <c r="A8" s="349"/>
      <c r="B8" s="3230"/>
      <c r="C8" s="351"/>
      <c r="D8" s="352"/>
      <c r="E8" s="347" t="s">
        <v>1403</v>
      </c>
      <c r="F8" s="348">
        <f ca="1">INDIRECT("'数据-取费表'!ai"&amp;$G$1)</f>
        <v>0</v>
      </c>
      <c r="G8" s="1850"/>
      <c r="H8" s="349"/>
      <c r="I8" s="3230"/>
      <c r="J8" s="351"/>
      <c r="K8" s="352"/>
      <c r="L8" s="347" t="s">
        <v>1403</v>
      </c>
      <c r="M8" s="348">
        <f ca="1">INDIRECT("'数据-取费表'!ai"&amp;$G$1)</f>
        <v>0</v>
      </c>
    </row>
    <row r="9" spans="1:37" ht="18" customHeight="1">
      <c r="A9" s="349"/>
      <c r="B9" s="3231"/>
      <c r="C9" s="351"/>
      <c r="D9" s="352"/>
      <c r="E9" s="347" t="s">
        <v>1404</v>
      </c>
      <c r="F9" s="357">
        <f ca="1">INDIRECT("'数据-取费表'!w"&amp;$G$1)</f>
        <v>0</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27" t="s">
        <v>1544</v>
      </c>
      <c r="L53" s="3228"/>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162654</v>
      </c>
      <c r="C2" s="2568" t="s">
        <v>2520</v>
      </c>
      <c r="D2" s="2569" t="s">
        <v>2521</v>
      </c>
      <c r="E2" s="2570">
        <f>SUM(E6:E13)</f>
        <v>41293.96</v>
      </c>
    </row>
    <row r="3" spans="1:6" ht="15.75">
      <c r="A3" s="2566" t="s">
        <v>1391</v>
      </c>
      <c r="B3" s="2567">
        <f ca="1">ROUND(B2*10000/E2,0)</f>
        <v>39389</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收益法-办公</v>
      </c>
      <c r="B6" s="2577">
        <f ca="1">IF(F6="是",'数据-取费表'!AO6,0)</f>
        <v>129637</v>
      </c>
      <c r="C6" s="2568" t="s">
        <v>2520</v>
      </c>
      <c r="D6" s="2571"/>
      <c r="E6" s="2579">
        <f>IF(OR(A6=0,F6="否"),0,'数据-取费表'!K6+'数据-取费表'!S6)</f>
        <v>25919.38</v>
      </c>
      <c r="F6" s="2580" t="s">
        <v>2526</v>
      </c>
    </row>
    <row r="7" spans="1:6">
      <c r="A7" s="2578" t="str">
        <f>'数据-取费表'!AN7</f>
        <v>收益法-仓储</v>
      </c>
      <c r="B7" s="2577">
        <f ca="1">IF(F7="是",'数据-取费表'!AO7,0)</f>
        <v>26061</v>
      </c>
      <c r="C7" s="2568" t="s">
        <v>2520</v>
      </c>
      <c r="D7" s="2571"/>
      <c r="E7" s="2579">
        <f>IF(OR(A7=0,F7="否"),0,'数据-取费表'!K7+'数据-取费表'!S7)</f>
        <v>7128.3</v>
      </c>
      <c r="F7" s="2580" t="s">
        <v>2526</v>
      </c>
    </row>
    <row r="8" spans="1:6">
      <c r="A8" s="2578" t="str">
        <f>'数据-取费表'!AN8</f>
        <v>收益法-车库</v>
      </c>
      <c r="B8" s="2577">
        <f ca="1">IF(F8="是",'数据-取费表'!AO8,0)</f>
        <v>6956</v>
      </c>
      <c r="C8" s="2568" t="s">
        <v>2520</v>
      </c>
      <c r="D8" s="2571"/>
      <c r="E8" s="2579">
        <f>IF(OR(A8=0,F8="否"),0,'数据-取费表'!K8+'数据-取费表'!S8)</f>
        <v>8246.2800000000007</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1073</v>
      </c>
      <c r="B1" s="3250"/>
      <c r="C1" s="3251"/>
      <c r="D1" s="3252">
        <f>SUM(I10,I15,I20,I21,I23)</f>
        <v>0</v>
      </c>
      <c r="E1" s="3252"/>
      <c r="F1" s="3252"/>
      <c r="G1" s="3252"/>
      <c r="H1" s="3252"/>
      <c r="I1" s="3253"/>
    </row>
    <row r="2" spans="1:9">
      <c r="A2" s="3239" t="s">
        <v>1074</v>
      </c>
      <c r="B2" s="3240" t="s">
        <v>1075</v>
      </c>
      <c r="C2" s="3240"/>
      <c r="D2" s="1300" t="s">
        <v>1076</v>
      </c>
      <c r="E2" s="1300" t="s">
        <v>1077</v>
      </c>
      <c r="F2" s="1300" t="s">
        <v>1078</v>
      </c>
      <c r="G2" s="1300" t="s">
        <v>1079</v>
      </c>
      <c r="H2" s="1300" t="s">
        <v>1080</v>
      </c>
      <c r="I2" s="1301" t="s">
        <v>1081</v>
      </c>
    </row>
    <row r="3" spans="1:9">
      <c r="A3" s="3239"/>
      <c r="B3" s="3240" t="s">
        <v>1082</v>
      </c>
      <c r="C3" s="3240"/>
      <c r="D3" s="1302"/>
      <c r="E3" s="1300"/>
      <c r="F3" s="1303"/>
      <c r="G3" s="1303"/>
      <c r="H3" s="1304"/>
      <c r="I3" s="1305">
        <f>ROUND(D3*E3*F3*G3*H3/10000,0)</f>
        <v>0</v>
      </c>
    </row>
    <row r="4" spans="1:9">
      <c r="A4" s="3239"/>
      <c r="B4" s="3240" t="s">
        <v>1083</v>
      </c>
      <c r="C4" s="3240"/>
      <c r="D4" s="1302"/>
      <c r="E4" s="1300"/>
      <c r="F4" s="1303"/>
      <c r="G4" s="1303"/>
      <c r="H4" s="1304"/>
      <c r="I4" s="1305">
        <f t="shared" ref="I4:I9" si="0">ROUND(D4*E4*F4*G4*H4/10000,0)</f>
        <v>0</v>
      </c>
    </row>
    <row r="5" spans="1:9">
      <c r="A5" s="3239"/>
      <c r="B5" s="3240" t="s">
        <v>1084</v>
      </c>
      <c r="C5" s="3240"/>
      <c r="D5" s="1302"/>
      <c r="E5" s="1300"/>
      <c r="F5" s="1303"/>
      <c r="G5" s="1303"/>
      <c r="H5" s="1304"/>
      <c r="I5" s="1305">
        <f t="shared" si="0"/>
        <v>0</v>
      </c>
    </row>
    <row r="6" spans="1:9">
      <c r="A6" s="3239"/>
      <c r="B6" s="3240" t="s">
        <v>1085</v>
      </c>
      <c r="C6" s="3240"/>
      <c r="D6" s="1302"/>
      <c r="E6" s="1300"/>
      <c r="F6" s="1303"/>
      <c r="G6" s="1303"/>
      <c r="H6" s="1304"/>
      <c r="I6" s="1305">
        <f t="shared" si="0"/>
        <v>0</v>
      </c>
    </row>
    <row r="7" spans="1:9">
      <c r="A7" s="3239"/>
      <c r="B7" s="3240" t="s">
        <v>1086</v>
      </c>
      <c r="C7" s="3240"/>
      <c r="D7" s="1302"/>
      <c r="E7" s="1300"/>
      <c r="F7" s="1303"/>
      <c r="G7" s="1303"/>
      <c r="H7" s="1304"/>
      <c r="I7" s="1305">
        <f t="shared" si="0"/>
        <v>0</v>
      </c>
    </row>
    <row r="8" spans="1:9">
      <c r="A8" s="3239"/>
      <c r="B8" s="3240" t="s">
        <v>1087</v>
      </c>
      <c r="C8" s="3240"/>
      <c r="D8" s="1302"/>
      <c r="E8" s="1300"/>
      <c r="F8" s="1303"/>
      <c r="G8" s="1303"/>
      <c r="H8" s="1304"/>
      <c r="I8" s="1305">
        <f t="shared" si="0"/>
        <v>0</v>
      </c>
    </row>
    <row r="9" spans="1:9">
      <c r="A9" s="3239"/>
      <c r="B9" s="3240" t="s">
        <v>1088</v>
      </c>
      <c r="C9" s="3240"/>
      <c r="D9" s="1302"/>
      <c r="E9" s="1300"/>
      <c r="F9" s="1303"/>
      <c r="G9" s="1303"/>
      <c r="H9" s="1304"/>
      <c r="I9" s="1305">
        <f t="shared" si="0"/>
        <v>0</v>
      </c>
    </row>
    <row r="10" spans="1:9">
      <c r="A10" s="3239"/>
      <c r="B10" s="3241" t="s">
        <v>1089</v>
      </c>
      <c r="C10" s="3241"/>
      <c r="D10" s="1306"/>
      <c r="E10" s="1306" t="e">
        <f>ROUND(D1*10000/D10/H9,0)</f>
        <v>#DIV/0!</v>
      </c>
      <c r="F10" s="1307"/>
      <c r="G10" s="1307"/>
      <c r="H10" s="1308"/>
      <c r="I10" s="1309">
        <f>SUM(I3:I9)</f>
        <v>0</v>
      </c>
    </row>
    <row r="11" spans="1:9" ht="14.25">
      <c r="A11" s="3239" t="s">
        <v>1090</v>
      </c>
      <c r="B11" s="3240" t="s">
        <v>1091</v>
      </c>
      <c r="C11" s="3240"/>
      <c r="D11" s="1302" t="s">
        <v>1092</v>
      </c>
      <c r="E11" s="1302" t="s">
        <v>1093</v>
      </c>
      <c r="F11" s="1303" t="s">
        <v>1094</v>
      </c>
      <c r="G11" s="1303" t="s">
        <v>1080</v>
      </c>
      <c r="H11" s="1310" t="s">
        <v>1095</v>
      </c>
      <c r="I11" s="1301" t="s">
        <v>1081</v>
      </c>
    </row>
    <row r="12" spans="1:9">
      <c r="A12" s="3239"/>
      <c r="B12" s="3240" t="s">
        <v>1096</v>
      </c>
      <c r="C12" s="3240"/>
      <c r="D12" s="1302"/>
      <c r="E12" s="1302"/>
      <c r="F12" s="1303"/>
      <c r="G12" s="1304"/>
      <c r="H12" s="1311"/>
      <c r="I12" s="1301">
        <f>ROUND(D12*E12*F12*G12/10000,0)</f>
        <v>0</v>
      </c>
    </row>
    <row r="13" spans="1:9">
      <c r="A13" s="3239"/>
      <c r="B13" s="3240" t="s">
        <v>1097</v>
      </c>
      <c r="C13" s="3240"/>
      <c r="D13" s="1302"/>
      <c r="E13" s="1302"/>
      <c r="F13" s="1303"/>
      <c r="G13" s="1304"/>
      <c r="H13" s="1311"/>
      <c r="I13" s="1301">
        <f>ROUND(D13*E13*F13*G13/10000,0)</f>
        <v>0</v>
      </c>
    </row>
    <row r="14" spans="1:9">
      <c r="A14" s="3239"/>
      <c r="B14" s="3240" t="s">
        <v>1098</v>
      </c>
      <c r="C14" s="3240"/>
      <c r="D14" s="1302"/>
      <c r="E14" s="1302"/>
      <c r="F14" s="1303"/>
      <c r="G14" s="1304"/>
      <c r="H14" s="1311"/>
      <c r="I14" s="1301">
        <f>ROUND(D14*E14*F14*G14/10000,0)</f>
        <v>0</v>
      </c>
    </row>
    <row r="15" spans="1:9">
      <c r="A15" s="3239"/>
      <c r="B15" s="3241" t="s">
        <v>1089</v>
      </c>
      <c r="C15" s="3241"/>
      <c r="D15" s="1306"/>
      <c r="E15" s="1306">
        <f>SUM(E12:E14)</f>
        <v>0</v>
      </c>
      <c r="F15" s="1307"/>
      <c r="G15" s="1304"/>
      <c r="H15" s="1311"/>
      <c r="I15" s="1312">
        <f>SUM(I12:I14)</f>
        <v>0</v>
      </c>
    </row>
    <row r="16" spans="1:9" ht="24">
      <c r="A16" s="3239" t="s">
        <v>1099</v>
      </c>
      <c r="B16" s="3240" t="s">
        <v>1100</v>
      </c>
      <c r="C16" s="3240"/>
      <c r="D16" s="1302" t="s">
        <v>1076</v>
      </c>
      <c r="E16" s="1313" t="s">
        <v>1101</v>
      </c>
      <c r="F16" s="1303" t="s">
        <v>1102</v>
      </c>
      <c r="G16" s="1304" t="s">
        <v>1080</v>
      </c>
      <c r="H16" s="1310" t="s">
        <v>1095</v>
      </c>
      <c r="I16" s="1301" t="s">
        <v>1081</v>
      </c>
    </row>
    <row r="17" spans="1:9" ht="14.25">
      <c r="A17" s="3239"/>
      <c r="B17" s="3240" t="s">
        <v>1103</v>
      </c>
      <c r="C17" s="3240"/>
      <c r="D17" s="1302"/>
      <c r="E17" s="1302"/>
      <c r="F17" s="1303"/>
      <c r="G17" s="1304"/>
      <c r="H17" s="1314"/>
      <c r="I17" s="1315">
        <f>ROUND(D17*E17*F17*G17/10000,0)</f>
        <v>0</v>
      </c>
    </row>
    <row r="18" spans="1:9" ht="14.25">
      <c r="A18" s="3239"/>
      <c r="B18" s="3240" t="s">
        <v>1104</v>
      </c>
      <c r="C18" s="3240"/>
      <c r="D18" s="1302"/>
      <c r="E18" s="1302"/>
      <c r="F18" s="1303"/>
      <c r="G18" s="1304"/>
      <c r="H18" s="1314"/>
      <c r="I18" s="1315">
        <f>ROUND(D18*E18*F18*G18/10000,0)</f>
        <v>0</v>
      </c>
    </row>
    <row r="19" spans="1:9" ht="14.25">
      <c r="A19" s="3239"/>
      <c r="B19" s="3240" t="s">
        <v>1105</v>
      </c>
      <c r="C19" s="3240"/>
      <c r="D19" s="1302"/>
      <c r="E19" s="1302"/>
      <c r="F19" s="1303"/>
      <c r="G19" s="1304"/>
      <c r="H19" s="1314"/>
      <c r="I19" s="1315">
        <f>ROUND(D19*E19*F19*G19/10000,0)</f>
        <v>0</v>
      </c>
    </row>
    <row r="20" spans="1:9">
      <c r="A20" s="3239"/>
      <c r="B20" s="3241" t="s">
        <v>1089</v>
      </c>
      <c r="C20" s="3241"/>
      <c r="D20" s="1306">
        <f>SUM(D17:D19)</f>
        <v>0</v>
      </c>
      <c r="E20" s="1306"/>
      <c r="F20" s="1307"/>
      <c r="G20" s="1304"/>
      <c r="H20" s="1311"/>
      <c r="I20" s="1312">
        <f>SUM(I17:I19)</f>
        <v>0</v>
      </c>
    </row>
    <row r="21" spans="1:9">
      <c r="A21" s="3239" t="s">
        <v>1106</v>
      </c>
      <c r="B21" s="3242"/>
      <c r="C21" s="3242"/>
      <c r="D21" s="3242"/>
      <c r="E21" s="3242"/>
      <c r="F21" s="3242"/>
      <c r="G21" s="3242"/>
      <c r="H21" s="1764">
        <v>0.1</v>
      </c>
      <c r="I21" s="1309">
        <f>ROUND(I10*H21,0)</f>
        <v>0</v>
      </c>
    </row>
    <row r="22" spans="1:9" ht="14.25">
      <c r="A22" s="3243" t="s">
        <v>1107</v>
      </c>
      <c r="B22" s="3244"/>
      <c r="C22" s="3245"/>
      <c r="D22" s="1316" t="s">
        <v>1108</v>
      </c>
      <c r="E22" s="1316" t="s">
        <v>1109</v>
      </c>
      <c r="F22" s="1317" t="s">
        <v>1110</v>
      </c>
      <c r="G22" s="1317" t="s">
        <v>1111</v>
      </c>
      <c r="H22" s="1310" t="s">
        <v>1112</v>
      </c>
      <c r="I22" s="1301" t="s">
        <v>1113</v>
      </c>
    </row>
    <row r="23" spans="1:9" ht="14.25" thickBot="1">
      <c r="A23" s="3246"/>
      <c r="B23" s="3247"/>
      <c r="C23" s="3248"/>
      <c r="D23" s="1318"/>
      <c r="E23" s="1318"/>
      <c r="F23" s="1318"/>
      <c r="G23" s="1319"/>
      <c r="H23" s="1320"/>
      <c r="I23" s="1321">
        <f>ROUND(E23*D23*F23*(1-G23)/10000,0)</f>
        <v>0</v>
      </c>
    </row>
    <row r="26" spans="1:9">
      <c r="A26" s="1322" t="s">
        <v>1114</v>
      </c>
      <c r="B26" s="1322"/>
      <c r="C26" s="1322"/>
      <c r="D26" s="1322"/>
      <c r="E26" s="3236">
        <f>C27-C30-C31-C32</f>
        <v>0</v>
      </c>
      <c r="F26" s="3236"/>
      <c r="G26" s="3236"/>
      <c r="H26" s="1736" t="s">
        <v>1336</v>
      </c>
    </row>
    <row r="27" spans="1:9">
      <c r="A27" s="1323">
        <v>1</v>
      </c>
      <c r="B27" s="1324" t="s">
        <v>1115</v>
      </c>
      <c r="C27" s="1324">
        <f>C28+C29</f>
        <v>0</v>
      </c>
      <c r="D27" s="1324"/>
      <c r="E27" s="3237"/>
      <c r="F27" s="3237"/>
      <c r="G27" s="3237"/>
    </row>
    <row r="28" spans="1:9">
      <c r="A28" s="1325" t="s">
        <v>1116</v>
      </c>
      <c r="B28" s="1324" t="s">
        <v>1117</v>
      </c>
      <c r="C28" s="1324"/>
      <c r="D28" s="1324"/>
      <c r="E28" s="3237"/>
      <c r="F28" s="3237"/>
      <c r="G28" s="323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8"/>
      <c r="F32" s="3238"/>
      <c r="G32" s="3238"/>
    </row>
    <row r="33" spans="1:7" hidden="1">
      <c r="A33" s="3233" t="s">
        <v>1126</v>
      </c>
      <c r="B33" s="3234"/>
      <c r="C33" s="3234"/>
      <c r="D33" s="3235"/>
      <c r="E33" s="3236"/>
      <c r="F33" s="3236"/>
      <c r="G33" s="3236"/>
    </row>
    <row r="34" spans="1:7" hidden="1">
      <c r="A34" s="1327">
        <v>1</v>
      </c>
      <c r="B34" s="1324" t="s">
        <v>1127</v>
      </c>
      <c r="C34" s="1324"/>
      <c r="D34" s="1324"/>
      <c r="E34" s="3237"/>
      <c r="F34" s="3237"/>
      <c r="G34" s="3237"/>
    </row>
    <row r="35" spans="1:7" hidden="1">
      <c r="A35" s="1327">
        <v>2</v>
      </c>
      <c r="B35" s="1324" t="s">
        <v>1128</v>
      </c>
      <c r="C35" s="1324"/>
      <c r="D35" s="1324"/>
      <c r="E35" s="3237"/>
      <c r="F35" s="3237"/>
      <c r="G35" s="3237"/>
    </row>
    <row r="36" spans="1:7" hidden="1">
      <c r="A36" s="1327">
        <v>3</v>
      </c>
      <c r="B36" s="1324" t="s">
        <v>1129</v>
      </c>
      <c r="C36" s="1324"/>
      <c r="D36" s="1324"/>
      <c r="E36" s="3237"/>
      <c r="F36" s="3237"/>
      <c r="G36" s="3237"/>
    </row>
    <row r="37" spans="1:7" hidden="1">
      <c r="A37" s="1327">
        <v>4</v>
      </c>
      <c r="B37" s="1324" t="s">
        <v>1130</v>
      </c>
      <c r="C37" s="1324"/>
      <c r="D37" s="1324"/>
      <c r="E37" s="3237"/>
      <c r="F37" s="3237"/>
      <c r="G37" s="3237"/>
    </row>
    <row r="38" spans="1:7" hidden="1">
      <c r="A38" s="3233" t="s">
        <v>1131</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41293.960000000006</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86" t="s">
        <v>2537</v>
      </c>
      <c r="D4" s="3187"/>
      <c r="E4" s="3188" t="s">
        <v>2538</v>
      </c>
      <c r="F4" s="3189"/>
      <c r="G4" s="3186" t="s">
        <v>2539</v>
      </c>
      <c r="H4" s="3187"/>
      <c r="I4" s="3186" t="s">
        <v>2540</v>
      </c>
      <c r="J4" s="3187"/>
      <c r="K4" s="2598" t="s">
        <v>2541</v>
      </c>
      <c r="L4" s="1129"/>
      <c r="M4" s="1130"/>
      <c r="N4" s="1130"/>
      <c r="O4" s="1130"/>
      <c r="P4" s="3258" t="s">
        <v>2542</v>
      </c>
      <c r="Q4" s="3259"/>
      <c r="R4" s="3262" t="s">
        <v>2538</v>
      </c>
      <c r="S4" s="3263"/>
      <c r="T4" s="3262" t="s">
        <v>2539</v>
      </c>
      <c r="U4" s="3263"/>
      <c r="V4" s="3203" t="s">
        <v>2540</v>
      </c>
      <c r="W4" s="3203"/>
      <c r="X4" s="1812"/>
      <c r="Y4" s="3262" t="s">
        <v>2542</v>
      </c>
      <c r="Z4" s="3263"/>
      <c r="AA4" s="3257" t="s">
        <v>2538</v>
      </c>
      <c r="AB4" s="3257" t="s">
        <v>2539</v>
      </c>
      <c r="AC4" s="3257" t="s">
        <v>2540</v>
      </c>
    </row>
    <row r="5" spans="1:29" ht="15">
      <c r="A5" s="404"/>
      <c r="B5" s="405"/>
      <c r="C5" s="3212" t="s">
        <v>2543</v>
      </c>
      <c r="D5" s="3207"/>
      <c r="E5" s="3264" t="s">
        <v>2544</v>
      </c>
      <c r="F5" s="3219"/>
      <c r="G5" s="3212" t="s">
        <v>2545</v>
      </c>
      <c r="H5" s="3207"/>
      <c r="I5" s="3212" t="s">
        <v>2546</v>
      </c>
      <c r="J5" s="3207"/>
      <c r="K5" s="2599"/>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2599"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0" t="s">
        <v>2550</v>
      </c>
      <c r="Q7" s="3211"/>
      <c r="R7" s="770" t="s">
        <v>23</v>
      </c>
      <c r="S7" s="771">
        <f t="shared" ref="S7:S15" si="0">F7</f>
        <v>0</v>
      </c>
      <c r="T7" s="770" t="s">
        <v>23</v>
      </c>
      <c r="U7" s="771">
        <f t="shared" ref="U7:U15" si="1">H7</f>
        <v>0</v>
      </c>
      <c r="V7" s="770" t="s">
        <v>23</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0" t="s">
        <v>2553</v>
      </c>
      <c r="Q8" s="3209"/>
      <c r="R8" s="770" t="s">
        <v>23</v>
      </c>
      <c r="S8" s="771">
        <f t="shared" si="0"/>
        <v>0</v>
      </c>
      <c r="T8" s="770" t="s">
        <v>23</v>
      </c>
      <c r="U8" s="771">
        <f t="shared" si="1"/>
        <v>0</v>
      </c>
      <c r="V8" s="770" t="s">
        <v>23</v>
      </c>
      <c r="W8" s="771">
        <f t="shared" si="2"/>
        <v>0</v>
      </c>
      <c r="X8" s="772"/>
      <c r="Y8" s="3210" t="s">
        <v>2553</v>
      </c>
      <c r="Z8" s="320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8"/>
      <c r="Q11" s="1794"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68"/>
      <c r="Q12" s="1794">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68"/>
      <c r="Q13" s="1794">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68"/>
      <c r="Q14" s="1794">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4" t="s">
        <v>2561</v>
      </c>
      <c r="Q15" s="1809" t="str">
        <f t="shared" si="6"/>
        <v>居住社区成熟度</v>
      </c>
      <c r="R15" s="774" t="s">
        <v>21</v>
      </c>
      <c r="S15" s="775">
        <f t="shared" si="0"/>
        <v>100</v>
      </c>
      <c r="T15" s="774" t="s">
        <v>21</v>
      </c>
      <c r="U15" s="775">
        <f t="shared" si="1"/>
        <v>100</v>
      </c>
      <c r="V15" s="774" t="s">
        <v>21</v>
      </c>
      <c r="W15" s="775">
        <f t="shared" si="2"/>
        <v>100</v>
      </c>
      <c r="X15" s="1812"/>
      <c r="Y15" s="317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5"/>
      <c r="Q17" s="1809" t="str">
        <f>B17</f>
        <v>交通便捷度</v>
      </c>
      <c r="R17" s="774" t="s">
        <v>21</v>
      </c>
      <c r="S17" s="775">
        <f>F17</f>
        <v>100</v>
      </c>
      <c r="T17" s="774" t="s">
        <v>21</v>
      </c>
      <c r="U17" s="775">
        <f>H17</f>
        <v>100</v>
      </c>
      <c r="V17" s="774" t="s">
        <v>21</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5"/>
      <c r="Q19" s="1809" t="str">
        <f>B19</f>
        <v>公共配套设施</v>
      </c>
      <c r="R19" s="774" t="s">
        <v>21</v>
      </c>
      <c r="S19" s="775">
        <f>F19</f>
        <v>100</v>
      </c>
      <c r="T19" s="774" t="s">
        <v>21</v>
      </c>
      <c r="U19" s="775">
        <f>H19</f>
        <v>100</v>
      </c>
      <c r="V19" s="774" t="s">
        <v>21</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5"/>
      <c r="Q23" s="1809" t="str">
        <f>B23</f>
        <v>自然及人文环境</v>
      </c>
      <c r="R23" s="774" t="s">
        <v>21</v>
      </c>
      <c r="S23" s="775">
        <f>F23</f>
        <v>100</v>
      </c>
      <c r="T23" s="774" t="s">
        <v>21</v>
      </c>
      <c r="U23" s="775">
        <f>H23</f>
        <v>100</v>
      </c>
      <c r="V23" s="774" t="s">
        <v>21</v>
      </c>
      <c r="W23" s="775">
        <f>J23</f>
        <v>100</v>
      </c>
      <c r="X23" s="1812"/>
      <c r="Y23" s="317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5"/>
      <c r="Q26" s="1809" t="str">
        <f t="shared" si="11"/>
        <v>朝向</v>
      </c>
      <c r="R26" s="774" t="s">
        <v>21</v>
      </c>
      <c r="S26" s="775">
        <f t="shared" si="12"/>
        <v>100</v>
      </c>
      <c r="T26" s="774" t="s">
        <v>21</v>
      </c>
      <c r="U26" s="775">
        <f t="shared" si="13"/>
        <v>100</v>
      </c>
      <c r="V26" s="774" t="s">
        <v>21</v>
      </c>
      <c r="W26" s="775">
        <f t="shared" si="14"/>
        <v>100</v>
      </c>
      <c r="X26" s="1812"/>
      <c r="Y26" s="317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5"/>
      <c r="Q27" s="1794">
        <f t="shared" si="11"/>
        <v>111</v>
      </c>
      <c r="R27" s="770" t="s">
        <v>21</v>
      </c>
      <c r="S27" s="771">
        <f t="shared" si="12"/>
        <v>100</v>
      </c>
      <c r="T27" s="770" t="s">
        <v>21</v>
      </c>
      <c r="U27" s="771">
        <f t="shared" si="13"/>
        <v>100</v>
      </c>
      <c r="V27" s="770" t="s">
        <v>21</v>
      </c>
      <c r="W27" s="771">
        <f t="shared" si="14"/>
        <v>100</v>
      </c>
      <c r="X27" s="772"/>
      <c r="Y27" s="317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5"/>
      <c r="Q28" s="1809">
        <f t="shared" si="11"/>
        <v>111</v>
      </c>
      <c r="R28" s="774" t="s">
        <v>21</v>
      </c>
      <c r="S28" s="775">
        <f t="shared" si="12"/>
        <v>100</v>
      </c>
      <c r="T28" s="774" t="s">
        <v>21</v>
      </c>
      <c r="U28" s="775">
        <f t="shared" si="13"/>
        <v>100</v>
      </c>
      <c r="V28" s="774" t="s">
        <v>21</v>
      </c>
      <c r="W28" s="775">
        <f t="shared" si="14"/>
        <v>100</v>
      </c>
      <c r="X28" s="1812"/>
      <c r="Y28" s="317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5"/>
      <c r="Q29" s="1809">
        <f t="shared" si="11"/>
        <v>111</v>
      </c>
      <c r="R29" s="774" t="s">
        <v>21</v>
      </c>
      <c r="S29" s="775">
        <f t="shared" si="12"/>
        <v>100</v>
      </c>
      <c r="T29" s="774" t="s">
        <v>21</v>
      </c>
      <c r="U29" s="775">
        <f t="shared" si="13"/>
        <v>100</v>
      </c>
      <c r="V29" s="774" t="s">
        <v>21</v>
      </c>
      <c r="W29" s="775">
        <f t="shared" si="14"/>
        <v>100</v>
      </c>
      <c r="X29" s="1812"/>
      <c r="Y29" s="317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5"/>
      <c r="Q30" s="1809">
        <f t="shared" si="11"/>
        <v>111</v>
      </c>
      <c r="R30" s="774" t="s">
        <v>21</v>
      </c>
      <c r="S30" s="775">
        <f t="shared" si="12"/>
        <v>100</v>
      </c>
      <c r="T30" s="774" t="s">
        <v>21</v>
      </c>
      <c r="U30" s="775">
        <f t="shared" si="13"/>
        <v>100</v>
      </c>
      <c r="V30" s="774" t="s">
        <v>21</v>
      </c>
      <c r="W30" s="775">
        <f t="shared" si="14"/>
        <v>100</v>
      </c>
      <c r="X30" s="1812"/>
      <c r="Y30" s="317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5"/>
      <c r="Q31" s="1809">
        <f t="shared" si="11"/>
        <v>111</v>
      </c>
      <c r="R31" s="774" t="s">
        <v>21</v>
      </c>
      <c r="S31" s="775">
        <f t="shared" si="12"/>
        <v>100</v>
      </c>
      <c r="T31" s="774" t="s">
        <v>21</v>
      </c>
      <c r="U31" s="775">
        <f t="shared" si="13"/>
        <v>100</v>
      </c>
      <c r="V31" s="774" t="s">
        <v>21</v>
      </c>
      <c r="W31" s="775">
        <f t="shared" si="14"/>
        <v>100</v>
      </c>
      <c r="X31" s="1812"/>
      <c r="Y31" s="3177"/>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78" t="s">
        <v>2566</v>
      </c>
      <c r="Q32" s="1809" t="str">
        <f t="shared" si="11"/>
        <v>建筑类型</v>
      </c>
      <c r="R32" s="774" t="s">
        <v>21</v>
      </c>
      <c r="S32" s="775">
        <f t="shared" si="12"/>
        <v>100</v>
      </c>
      <c r="T32" s="774" t="s">
        <v>21</v>
      </c>
      <c r="U32" s="775">
        <f t="shared" si="13"/>
        <v>100</v>
      </c>
      <c r="V32" s="774" t="s">
        <v>21</v>
      </c>
      <c r="W32" s="775">
        <f t="shared" si="14"/>
        <v>100</v>
      </c>
      <c r="X32" s="1812"/>
      <c r="Y32" s="3181"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79"/>
      <c r="Q34" s="1809" t="str">
        <f t="shared" si="11"/>
        <v>建筑结构</v>
      </c>
      <c r="R34" s="774" t="s">
        <v>21</v>
      </c>
      <c r="S34" s="775">
        <f t="shared" si="12"/>
        <v>100</v>
      </c>
      <c r="T34" s="774" t="s">
        <v>21</v>
      </c>
      <c r="U34" s="775">
        <f t="shared" si="13"/>
        <v>100</v>
      </c>
      <c r="V34" s="774" t="s">
        <v>21</v>
      </c>
      <c r="W34" s="775">
        <f t="shared" si="14"/>
        <v>100</v>
      </c>
      <c r="X34" s="1812"/>
      <c r="Y34" s="3181"/>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79"/>
      <c r="Q35" s="1809" t="str">
        <f t="shared" si="11"/>
        <v>建筑品质</v>
      </c>
      <c r="R35" s="774" t="s">
        <v>21</v>
      </c>
      <c r="S35" s="775">
        <f t="shared" si="12"/>
        <v>100</v>
      </c>
      <c r="T35" s="774" t="s">
        <v>21</v>
      </c>
      <c r="U35" s="775">
        <f t="shared" si="13"/>
        <v>100</v>
      </c>
      <c r="V35" s="774" t="s">
        <v>21</v>
      </c>
      <c r="W35" s="775">
        <f t="shared" si="14"/>
        <v>100</v>
      </c>
      <c r="X35" s="1812"/>
      <c r="Y35" s="3181"/>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79"/>
      <c r="Q36" s="1809" t="str">
        <f t="shared" si="11"/>
        <v>公共部分装修</v>
      </c>
      <c r="R36" s="774" t="s">
        <v>21</v>
      </c>
      <c r="S36" s="775">
        <f t="shared" si="12"/>
        <v>100</v>
      </c>
      <c r="T36" s="774" t="s">
        <v>21</v>
      </c>
      <c r="U36" s="775">
        <f t="shared" si="13"/>
        <v>100</v>
      </c>
      <c r="V36" s="774" t="s">
        <v>21</v>
      </c>
      <c r="W36" s="775">
        <f t="shared" si="14"/>
        <v>100</v>
      </c>
      <c r="X36" s="1812"/>
      <c r="Y36" s="3181"/>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9"/>
      <c r="Q37" s="1794"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79" t="s">
        <v>2566</v>
      </c>
      <c r="Q38" s="1809" t="str">
        <f t="shared" si="11"/>
        <v>物业管理</v>
      </c>
      <c r="R38" s="774" t="s">
        <v>21</v>
      </c>
      <c r="S38" s="775">
        <f t="shared" si="12"/>
        <v>100</v>
      </c>
      <c r="T38" s="774" t="s">
        <v>21</v>
      </c>
      <c r="U38" s="775">
        <f t="shared" si="13"/>
        <v>100</v>
      </c>
      <c r="V38" s="774" t="s">
        <v>21</v>
      </c>
      <c r="W38" s="775">
        <f t="shared" si="14"/>
        <v>100</v>
      </c>
      <c r="X38" s="1812"/>
      <c r="Y38" s="3181"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79"/>
      <c r="Q39" s="1809" t="str">
        <f t="shared" si="11"/>
        <v>市政基础设施</v>
      </c>
      <c r="R39" s="774" t="s">
        <v>21</v>
      </c>
      <c r="S39" s="775">
        <f t="shared" si="12"/>
        <v>100</v>
      </c>
      <c r="T39" s="774" t="s">
        <v>21</v>
      </c>
      <c r="U39" s="775">
        <f t="shared" si="13"/>
        <v>100</v>
      </c>
      <c r="V39" s="774" t="s">
        <v>21</v>
      </c>
      <c r="W39" s="775">
        <f t="shared" si="14"/>
        <v>100</v>
      </c>
      <c r="X39" s="1812"/>
      <c r="Y39" s="3181"/>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79"/>
      <c r="Q40" s="1809" t="str">
        <f t="shared" si="11"/>
        <v>房型</v>
      </c>
      <c r="R40" s="774" t="s">
        <v>21</v>
      </c>
      <c r="S40" s="775">
        <f t="shared" si="12"/>
        <v>100</v>
      </c>
      <c r="T40" s="774" t="s">
        <v>21</v>
      </c>
      <c r="U40" s="775">
        <f t="shared" si="13"/>
        <v>100</v>
      </c>
      <c r="V40" s="774" t="s">
        <v>21</v>
      </c>
      <c r="W40" s="775">
        <f t="shared" si="14"/>
        <v>100</v>
      </c>
      <c r="X40" s="1812"/>
      <c r="Y40" s="3181"/>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79"/>
      <c r="Q42" s="1809" t="str">
        <f t="shared" si="11"/>
        <v>内部装修</v>
      </c>
      <c r="R42" s="774" t="s">
        <v>21</v>
      </c>
      <c r="S42" s="775">
        <f t="shared" si="12"/>
        <v>100</v>
      </c>
      <c r="T42" s="774" t="s">
        <v>21</v>
      </c>
      <c r="U42" s="775">
        <f t="shared" si="13"/>
        <v>100</v>
      </c>
      <c r="V42" s="774" t="s">
        <v>21</v>
      </c>
      <c r="W42" s="775">
        <f t="shared" si="14"/>
        <v>100</v>
      </c>
      <c r="X42" s="1812"/>
      <c r="Y42" s="3181"/>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79"/>
      <c r="Q43" s="1809" t="str">
        <f t="shared" si="11"/>
        <v>内部装修维护情况</v>
      </c>
      <c r="R43" s="774" t="s">
        <v>21</v>
      </c>
      <c r="S43" s="775">
        <f t="shared" si="12"/>
        <v>100</v>
      </c>
      <c r="T43" s="774" t="s">
        <v>21</v>
      </c>
      <c r="U43" s="775">
        <f t="shared" si="13"/>
        <v>100</v>
      </c>
      <c r="V43" s="774" t="s">
        <v>21</v>
      </c>
      <c r="W43" s="775">
        <f t="shared" si="14"/>
        <v>100</v>
      </c>
      <c r="X43" s="1812"/>
      <c r="Y43" s="318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79"/>
      <c r="Q44" s="1794">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79"/>
      <c r="Q45" s="1809">
        <f t="shared" si="11"/>
        <v>111</v>
      </c>
      <c r="R45" s="774" t="s">
        <v>21</v>
      </c>
      <c r="S45" s="775">
        <f t="shared" si="12"/>
        <v>100</v>
      </c>
      <c r="T45" s="774" t="s">
        <v>21</v>
      </c>
      <c r="U45" s="775">
        <f t="shared" si="13"/>
        <v>100</v>
      </c>
      <c r="V45" s="774" t="s">
        <v>21</v>
      </c>
      <c r="W45" s="775">
        <f t="shared" si="14"/>
        <v>100</v>
      </c>
      <c r="X45" s="1812"/>
      <c r="Y45" s="318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0"/>
      <c r="Q46" s="1809">
        <f t="shared" si="11"/>
        <v>111</v>
      </c>
      <c r="R46" s="774" t="s">
        <v>20</v>
      </c>
      <c r="S46" s="775">
        <f t="shared" si="12"/>
        <v>100</v>
      </c>
      <c r="T46" s="774" t="s">
        <v>20</v>
      </c>
      <c r="U46" s="775">
        <f t="shared" si="13"/>
        <v>100</v>
      </c>
      <c r="V46" s="774" t="s">
        <v>20</v>
      </c>
      <c r="W46" s="775">
        <f t="shared" si="14"/>
        <v>100</v>
      </c>
      <c r="X46" s="1812"/>
      <c r="Y46" s="3182"/>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03"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03"/>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03"/>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8"/>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4" t="s">
        <v>2561</v>
      </c>
      <c r="Q15" s="1809" t="str">
        <f t="shared" si="6"/>
        <v>商业繁华度</v>
      </c>
      <c r="R15" s="774" t="s">
        <v>17</v>
      </c>
      <c r="S15" s="775">
        <f t="shared" si="0"/>
        <v>100</v>
      </c>
      <c r="T15" s="774" t="s">
        <v>17</v>
      </c>
      <c r="U15" s="775">
        <f t="shared" si="1"/>
        <v>100</v>
      </c>
      <c r="V15" s="774" t="s">
        <v>17</v>
      </c>
      <c r="W15" s="775">
        <f t="shared" si="2"/>
        <v>100</v>
      </c>
      <c r="X15" s="1812"/>
      <c r="Y15" s="317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5"/>
      <c r="Q23" s="1809" t="str">
        <f>B23</f>
        <v>自然及人文环境</v>
      </c>
      <c r="R23" s="774" t="s">
        <v>17</v>
      </c>
      <c r="S23" s="775">
        <f>F23</f>
        <v>100</v>
      </c>
      <c r="T23" s="774" t="s">
        <v>17</v>
      </c>
      <c r="U23" s="775">
        <f>H23</f>
        <v>100</v>
      </c>
      <c r="V23" s="774" t="s">
        <v>17</v>
      </c>
      <c r="W23" s="775">
        <f>J23</f>
        <v>100</v>
      </c>
      <c r="X23" s="1812"/>
      <c r="Y23" s="317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5"/>
      <c r="Q25" s="1809" t="str">
        <f t="shared" ref="Q25:Q46" si="11">B25</f>
        <v>临街状况</v>
      </c>
      <c r="R25" s="774" t="s">
        <v>17</v>
      </c>
      <c r="S25" s="775">
        <f>F25</f>
        <v>100</v>
      </c>
      <c r="T25" s="774" t="s">
        <v>17</v>
      </c>
      <c r="U25" s="775">
        <f>H25</f>
        <v>100</v>
      </c>
      <c r="V25" s="774" t="s">
        <v>17</v>
      </c>
      <c r="W25" s="775">
        <f>J25</f>
        <v>100</v>
      </c>
      <c r="X25" s="1812"/>
      <c r="Y25" s="3177"/>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5"/>
      <c r="Q26" s="1809" t="str">
        <f t="shared" si="11"/>
        <v>平面位置/可视性</v>
      </c>
      <c r="R26" s="774" t="s">
        <v>17</v>
      </c>
      <c r="S26" s="775">
        <f>F26</f>
        <v>100</v>
      </c>
      <c r="T26" s="774" t="s">
        <v>17</v>
      </c>
      <c r="U26" s="775">
        <f>H26</f>
        <v>100</v>
      </c>
      <c r="V26" s="774" t="s">
        <v>17</v>
      </c>
      <c r="W26" s="775">
        <f>J26</f>
        <v>100</v>
      </c>
      <c r="X26" s="1812"/>
      <c r="Y26" s="3177"/>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5"/>
      <c r="Q27" s="1794" t="str">
        <f t="shared" si="11"/>
        <v>人流量</v>
      </c>
      <c r="R27" s="770" t="s">
        <v>17</v>
      </c>
      <c r="S27" s="771">
        <f>F27</f>
        <v>100</v>
      </c>
      <c r="T27" s="770" t="s">
        <v>17</v>
      </c>
      <c r="U27" s="771">
        <f>H27</f>
        <v>100</v>
      </c>
      <c r="V27" s="770" t="s">
        <v>17</v>
      </c>
      <c r="W27" s="771">
        <f>J27</f>
        <v>100</v>
      </c>
      <c r="X27" s="772"/>
      <c r="Y27" s="3177"/>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5"/>
      <c r="Q29" s="1809">
        <f t="shared" si="11"/>
        <v>111</v>
      </c>
      <c r="R29" s="774" t="s">
        <v>17</v>
      </c>
      <c r="S29" s="775">
        <f t="shared" si="12"/>
        <v>100</v>
      </c>
      <c r="T29" s="774" t="s">
        <v>17</v>
      </c>
      <c r="U29" s="775">
        <f t="shared" si="13"/>
        <v>100</v>
      </c>
      <c r="V29" s="774" t="s">
        <v>17</v>
      </c>
      <c r="W29" s="775">
        <f t="shared" si="14"/>
        <v>100</v>
      </c>
      <c r="X29" s="1812"/>
      <c r="Y29" s="317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78" t="s">
        <v>2566</v>
      </c>
      <c r="Q32" s="1809" t="str">
        <f t="shared" si="11"/>
        <v>商业类型</v>
      </c>
      <c r="R32" s="774" t="s">
        <v>17</v>
      </c>
      <c r="S32" s="775">
        <f t="shared" si="12"/>
        <v>100</v>
      </c>
      <c r="T32" s="774" t="s">
        <v>17</v>
      </c>
      <c r="U32" s="775">
        <f t="shared" si="13"/>
        <v>100</v>
      </c>
      <c r="V32" s="774" t="s">
        <v>17</v>
      </c>
      <c r="W32" s="775">
        <f t="shared" si="14"/>
        <v>100</v>
      </c>
      <c r="X32" s="1812"/>
      <c r="Y32" s="3181"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79"/>
      <c r="Q34" s="1809" t="str">
        <f t="shared" si="11"/>
        <v>建筑结构</v>
      </c>
      <c r="R34" s="774" t="s">
        <v>17</v>
      </c>
      <c r="S34" s="775">
        <f t="shared" si="12"/>
        <v>100</v>
      </c>
      <c r="T34" s="774" t="s">
        <v>17</v>
      </c>
      <c r="U34" s="775">
        <f t="shared" si="13"/>
        <v>100</v>
      </c>
      <c r="V34" s="774" t="s">
        <v>17</v>
      </c>
      <c r="W34" s="775">
        <f t="shared" si="14"/>
        <v>100</v>
      </c>
      <c r="X34" s="1812"/>
      <c r="Y34" s="3181"/>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79"/>
      <c r="Q35" s="1809" t="str">
        <f t="shared" si="11"/>
        <v>公共部分装修</v>
      </c>
      <c r="R35" s="774" t="s">
        <v>17</v>
      </c>
      <c r="S35" s="775">
        <f t="shared" si="12"/>
        <v>100</v>
      </c>
      <c r="T35" s="774" t="s">
        <v>17</v>
      </c>
      <c r="U35" s="775">
        <f t="shared" si="13"/>
        <v>100</v>
      </c>
      <c r="V35" s="774" t="s">
        <v>17</v>
      </c>
      <c r="W35" s="775">
        <f t="shared" si="14"/>
        <v>100</v>
      </c>
      <c r="X35" s="1812"/>
      <c r="Y35" s="3181"/>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79"/>
      <c r="Q36" s="1809" t="str">
        <f t="shared" si="11"/>
        <v>成新度</v>
      </c>
      <c r="R36" s="774" t="s">
        <v>17</v>
      </c>
      <c r="S36" s="775" t="e">
        <f t="shared" si="12"/>
        <v>#N/A</v>
      </c>
      <c r="T36" s="774" t="s">
        <v>17</v>
      </c>
      <c r="U36" s="775" t="e">
        <f t="shared" si="13"/>
        <v>#N/A</v>
      </c>
      <c r="V36" s="774" t="s">
        <v>17</v>
      </c>
      <c r="W36" s="775" t="e">
        <f t="shared" si="14"/>
        <v>#N/A</v>
      </c>
      <c r="X36" s="1812"/>
      <c r="Y36" s="3181"/>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79"/>
      <c r="Q37" s="1794"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79" t="s">
        <v>2566</v>
      </c>
      <c r="Q38" s="1809" t="str">
        <f t="shared" si="11"/>
        <v>业态</v>
      </c>
      <c r="R38" s="774" t="s">
        <v>17</v>
      </c>
      <c r="S38" s="775">
        <f t="shared" si="12"/>
        <v>100</v>
      </c>
      <c r="T38" s="774" t="s">
        <v>17</v>
      </c>
      <c r="U38" s="775">
        <f t="shared" si="13"/>
        <v>100</v>
      </c>
      <c r="V38" s="774" t="s">
        <v>17</v>
      </c>
      <c r="W38" s="775">
        <f t="shared" si="14"/>
        <v>100</v>
      </c>
      <c r="X38" s="1812"/>
      <c r="Y38" s="3181"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79"/>
      <c r="Q39" s="1809" t="str">
        <f t="shared" si="11"/>
        <v>层高</v>
      </c>
      <c r="R39" s="774" t="s">
        <v>17</v>
      </c>
      <c r="S39" s="775">
        <f t="shared" si="12"/>
        <v>100</v>
      </c>
      <c r="T39" s="774" t="s">
        <v>17</v>
      </c>
      <c r="U39" s="775">
        <f t="shared" si="13"/>
        <v>100</v>
      </c>
      <c r="V39" s="774" t="s">
        <v>17</v>
      </c>
      <c r="W39" s="775">
        <f t="shared" si="14"/>
        <v>100</v>
      </c>
      <c r="X39" s="1812"/>
      <c r="Y39" s="3181"/>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9"/>
      <c r="Q40" s="1809" t="str">
        <f t="shared" si="11"/>
        <v>单套建筑面积</v>
      </c>
      <c r="R40" s="774" t="s">
        <v>17</v>
      </c>
      <c r="S40" s="775">
        <f t="shared" si="12"/>
        <v>100</v>
      </c>
      <c r="T40" s="774" t="s">
        <v>17</v>
      </c>
      <c r="U40" s="775">
        <f t="shared" si="13"/>
        <v>100</v>
      </c>
      <c r="V40" s="774" t="s">
        <v>17</v>
      </c>
      <c r="W40" s="775">
        <f t="shared" si="14"/>
        <v>100</v>
      </c>
      <c r="X40" s="1812"/>
      <c r="Y40" s="3181"/>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79"/>
      <c r="Q42" s="1809" t="str">
        <f t="shared" si="11"/>
        <v>内部装修</v>
      </c>
      <c r="R42" s="774" t="s">
        <v>17</v>
      </c>
      <c r="S42" s="775">
        <f t="shared" si="12"/>
        <v>100</v>
      </c>
      <c r="T42" s="774" t="s">
        <v>17</v>
      </c>
      <c r="U42" s="775">
        <f t="shared" si="13"/>
        <v>100</v>
      </c>
      <c r="V42" s="774" t="s">
        <v>17</v>
      </c>
      <c r="W42" s="775">
        <f t="shared" si="14"/>
        <v>100</v>
      </c>
      <c r="X42" s="1812"/>
      <c r="Y42" s="3181"/>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79"/>
      <c r="Q43" s="1809" t="str">
        <f t="shared" si="11"/>
        <v>内部装修维护情况</v>
      </c>
      <c r="R43" s="774" t="s">
        <v>17</v>
      </c>
      <c r="S43" s="775">
        <f t="shared" si="12"/>
        <v>100</v>
      </c>
      <c r="T43" s="774" t="s">
        <v>17</v>
      </c>
      <c r="U43" s="775">
        <f t="shared" si="13"/>
        <v>100</v>
      </c>
      <c r="V43" s="774" t="s">
        <v>17</v>
      </c>
      <c r="W43" s="775">
        <f t="shared" si="14"/>
        <v>100</v>
      </c>
      <c r="X43" s="1812"/>
      <c r="Y43" s="318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9"/>
      <c r="Q44" s="1794">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9"/>
      <c r="Q45" s="1809">
        <f t="shared" si="11"/>
        <v>111</v>
      </c>
      <c r="R45" s="774" t="s">
        <v>17</v>
      </c>
      <c r="S45" s="775">
        <f t="shared" si="12"/>
        <v>100</v>
      </c>
      <c r="T45" s="774" t="s">
        <v>17</v>
      </c>
      <c r="U45" s="775">
        <f t="shared" si="13"/>
        <v>100</v>
      </c>
      <c r="V45" s="774" t="s">
        <v>17</v>
      </c>
      <c r="W45" s="775">
        <f t="shared" si="14"/>
        <v>100</v>
      </c>
      <c r="X45" s="1812"/>
      <c r="Y45" s="318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0"/>
      <c r="Q46" s="1809">
        <f t="shared" si="11"/>
        <v>111</v>
      </c>
      <c r="R46" s="774" t="s">
        <v>17</v>
      </c>
      <c r="S46" s="775">
        <f t="shared" si="12"/>
        <v>100</v>
      </c>
      <c r="T46" s="774" t="s">
        <v>17</v>
      </c>
      <c r="U46" s="775">
        <f t="shared" si="13"/>
        <v>100</v>
      </c>
      <c r="V46" s="774" t="s">
        <v>17</v>
      </c>
      <c r="W46" s="775">
        <f t="shared" si="14"/>
        <v>100</v>
      </c>
      <c r="X46" s="1812"/>
      <c r="Y46" s="3182"/>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69" t="str">
        <f>A47</f>
        <v>成交单价（元/平方米）</v>
      </c>
      <c r="Q47" s="3169"/>
      <c r="R47" s="3203">
        <f>E47</f>
        <v>0</v>
      </c>
      <c r="S47" s="3203"/>
      <c r="T47" s="3203">
        <f>G47</f>
        <v>0</v>
      </c>
      <c r="U47" s="3203"/>
      <c r="V47" s="3203">
        <f>I47</f>
        <v>0</v>
      </c>
      <c r="W47" s="320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77"/>
      <c r="Q18" s="1809"/>
      <c r="R18" s="774"/>
      <c r="S18" s="775"/>
      <c r="T18" s="774"/>
      <c r="U18" s="775"/>
      <c r="V18" s="774"/>
      <c r="W18" s="775"/>
      <c r="X18" s="1812"/>
      <c r="Y18" s="317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7"/>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77"/>
      <c r="Q20" s="1809"/>
      <c r="R20" s="774"/>
      <c r="S20" s="775"/>
      <c r="T20" s="774"/>
      <c r="U20" s="775"/>
      <c r="V20" s="774"/>
      <c r="W20" s="775"/>
      <c r="X20" s="1812"/>
      <c r="Y20" s="3177"/>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7"/>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77"/>
      <c r="Q22" s="1809"/>
      <c r="R22" s="774"/>
      <c r="S22" s="775"/>
      <c r="T22" s="774"/>
      <c r="U22" s="775"/>
      <c r="V22" s="774"/>
      <c r="W22" s="775"/>
      <c r="X22" s="1812"/>
      <c r="Y22" s="317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7"/>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77"/>
      <c r="Q24" s="1809"/>
      <c r="R24" s="774"/>
      <c r="S24" s="775"/>
      <c r="T24" s="774"/>
      <c r="U24" s="775"/>
      <c r="V24" s="774"/>
      <c r="W24" s="775"/>
      <c r="X24" s="1812"/>
      <c r="Y24" s="317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7"/>
      <c r="Q25" s="1809">
        <f>B25</f>
        <v>111</v>
      </c>
      <c r="R25" s="774" t="s">
        <v>17</v>
      </c>
      <c r="S25" s="775">
        <f>F25</f>
        <v>100</v>
      </c>
      <c r="T25" s="774" t="s">
        <v>17</v>
      </c>
      <c r="U25" s="775">
        <f>H25</f>
        <v>100</v>
      </c>
      <c r="V25" s="774" t="s">
        <v>17</v>
      </c>
      <c r="W25" s="775">
        <f>J25</f>
        <v>100</v>
      </c>
      <c r="X25" s="1812"/>
      <c r="Y25" s="317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7"/>
      <c r="Q26" s="1809">
        <f t="shared" ref="Q26:Q40" si="11">B26</f>
        <v>111</v>
      </c>
      <c r="R26" s="774" t="s">
        <v>17</v>
      </c>
      <c r="S26" s="775">
        <f>F26</f>
        <v>100</v>
      </c>
      <c r="T26" s="774" t="s">
        <v>17</v>
      </c>
      <c r="U26" s="775">
        <f>H26</f>
        <v>100</v>
      </c>
      <c r="V26" s="774" t="s">
        <v>17</v>
      </c>
      <c r="W26" s="775">
        <f>J26</f>
        <v>100</v>
      </c>
      <c r="X26" s="1812"/>
      <c r="Y26" s="317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7"/>
      <c r="Q27" s="1794">
        <f t="shared" si="11"/>
        <v>111</v>
      </c>
      <c r="R27" s="770" t="s">
        <v>17</v>
      </c>
      <c r="S27" s="771">
        <f>F27</f>
        <v>100</v>
      </c>
      <c r="T27" s="770" t="s">
        <v>17</v>
      </c>
      <c r="U27" s="771">
        <f>H27</f>
        <v>100</v>
      </c>
      <c r="V27" s="770" t="s">
        <v>17</v>
      </c>
      <c r="W27" s="771">
        <f>J27</f>
        <v>100</v>
      </c>
      <c r="X27" s="772"/>
      <c r="Y27" s="317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7"/>
      <c r="Q28" s="1809">
        <f t="shared" si="11"/>
        <v>111</v>
      </c>
      <c r="R28" s="774" t="s">
        <v>17</v>
      </c>
      <c r="S28" s="775">
        <f t="shared" ref="S28:S40" si="12">F28</f>
        <v>100</v>
      </c>
      <c r="T28" s="774" t="s">
        <v>17</v>
      </c>
      <c r="U28" s="775">
        <f t="shared" ref="U28:U40" si="13">H28</f>
        <v>100</v>
      </c>
      <c r="V28" s="774" t="s">
        <v>17</v>
      </c>
      <c r="W28" s="775">
        <f t="shared" ref="W28:W40" si="14">J28</f>
        <v>100</v>
      </c>
      <c r="X28" s="1812"/>
      <c r="Y28" s="3177"/>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5" t="s">
        <v>2566</v>
      </c>
      <c r="Q29" s="1809" t="str">
        <f t="shared" si="11"/>
        <v>建筑类型</v>
      </c>
      <c r="R29" s="774" t="s">
        <v>17</v>
      </c>
      <c r="S29" s="775">
        <f t="shared" si="12"/>
        <v>100</v>
      </c>
      <c r="T29" s="774" t="s">
        <v>17</v>
      </c>
      <c r="U29" s="775">
        <f t="shared" si="13"/>
        <v>100</v>
      </c>
      <c r="V29" s="774" t="s">
        <v>17</v>
      </c>
      <c r="W29" s="775">
        <f t="shared" si="14"/>
        <v>100</v>
      </c>
      <c r="X29" s="1812"/>
      <c r="Y29" s="3181"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1"/>
      <c r="Q31" s="1809" t="str">
        <f t="shared" si="11"/>
        <v>建筑结构</v>
      </c>
      <c r="R31" s="774" t="s">
        <v>17</v>
      </c>
      <c r="S31" s="775">
        <f t="shared" si="12"/>
        <v>100</v>
      </c>
      <c r="T31" s="774" t="s">
        <v>17</v>
      </c>
      <c r="U31" s="775">
        <f t="shared" si="13"/>
        <v>100</v>
      </c>
      <c r="V31" s="774" t="s">
        <v>17</v>
      </c>
      <c r="W31" s="775">
        <f t="shared" si="14"/>
        <v>100</v>
      </c>
      <c r="X31" s="1812"/>
      <c r="Y31" s="3181"/>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1"/>
      <c r="Q32" s="1809" t="str">
        <f t="shared" si="11"/>
        <v>公共部分装修</v>
      </c>
      <c r="R32" s="774" t="s">
        <v>17</v>
      </c>
      <c r="S32" s="775">
        <f t="shared" si="12"/>
        <v>100</v>
      </c>
      <c r="T32" s="774" t="s">
        <v>17</v>
      </c>
      <c r="U32" s="775">
        <f t="shared" si="13"/>
        <v>100</v>
      </c>
      <c r="V32" s="774" t="s">
        <v>17</v>
      </c>
      <c r="W32" s="775">
        <f t="shared" si="14"/>
        <v>100</v>
      </c>
      <c r="X32" s="1812"/>
      <c r="Y32" s="3181"/>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1"/>
      <c r="Q33" s="1809" t="str">
        <f t="shared" si="11"/>
        <v>成新度</v>
      </c>
      <c r="R33" s="774" t="s">
        <v>17</v>
      </c>
      <c r="S33" s="775" t="e">
        <f t="shared" si="12"/>
        <v>#N/A</v>
      </c>
      <c r="T33" s="774" t="s">
        <v>17</v>
      </c>
      <c r="U33" s="775" t="e">
        <f t="shared" si="13"/>
        <v>#N/A</v>
      </c>
      <c r="V33" s="774" t="s">
        <v>17</v>
      </c>
      <c r="W33" s="775" t="e">
        <f t="shared" si="14"/>
        <v>#N/A</v>
      </c>
      <c r="X33" s="1812"/>
      <c r="Y33" s="3181"/>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1"/>
      <c r="Q34" s="1794"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1" t="s">
        <v>2566</v>
      </c>
      <c r="Q35" s="1809" t="str">
        <f t="shared" si="11"/>
        <v>市政基础设施</v>
      </c>
      <c r="R35" s="774" t="s">
        <v>17</v>
      </c>
      <c r="S35" s="775">
        <f t="shared" si="12"/>
        <v>100</v>
      </c>
      <c r="T35" s="774" t="s">
        <v>17</v>
      </c>
      <c r="U35" s="775">
        <f t="shared" si="13"/>
        <v>100</v>
      </c>
      <c r="V35" s="774" t="s">
        <v>17</v>
      </c>
      <c r="W35" s="775">
        <f t="shared" si="14"/>
        <v>100</v>
      </c>
      <c r="X35" s="1812"/>
      <c r="Y35" s="3181"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1"/>
      <c r="Q36" s="1809" t="str">
        <f t="shared" si="11"/>
        <v>内部装修</v>
      </c>
      <c r="R36" s="774" t="s">
        <v>17</v>
      </c>
      <c r="S36" s="775">
        <f t="shared" si="12"/>
        <v>100</v>
      </c>
      <c r="T36" s="774" t="s">
        <v>17</v>
      </c>
      <c r="U36" s="775">
        <f t="shared" si="13"/>
        <v>100</v>
      </c>
      <c r="V36" s="774" t="s">
        <v>17</v>
      </c>
      <c r="W36" s="775">
        <f t="shared" si="14"/>
        <v>100</v>
      </c>
      <c r="X36" s="1812"/>
      <c r="Y36" s="3181"/>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1"/>
      <c r="Q37" s="1809" t="str">
        <f t="shared" si="11"/>
        <v>内部装修状况</v>
      </c>
      <c r="R37" s="774" t="s">
        <v>17</v>
      </c>
      <c r="S37" s="775">
        <f t="shared" si="12"/>
        <v>100</v>
      </c>
      <c r="T37" s="774" t="s">
        <v>17</v>
      </c>
      <c r="U37" s="775">
        <f t="shared" si="13"/>
        <v>100</v>
      </c>
      <c r="V37" s="774" t="s">
        <v>17</v>
      </c>
      <c r="W37" s="775">
        <f t="shared" si="14"/>
        <v>100</v>
      </c>
      <c r="X37" s="1812"/>
      <c r="Y37" s="318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1"/>
      <c r="Q39" s="1809">
        <f t="shared" si="11"/>
        <v>111</v>
      </c>
      <c r="R39" s="774" t="s">
        <v>17</v>
      </c>
      <c r="S39" s="775">
        <f t="shared" si="12"/>
        <v>100</v>
      </c>
      <c r="T39" s="774" t="s">
        <v>17</v>
      </c>
      <c r="U39" s="775">
        <f t="shared" si="13"/>
        <v>100</v>
      </c>
      <c r="V39" s="774" t="s">
        <v>17</v>
      </c>
      <c r="W39" s="775">
        <f t="shared" si="14"/>
        <v>100</v>
      </c>
      <c r="X39" s="1812"/>
      <c r="Y39" s="318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2"/>
      <c r="Q40" s="1809">
        <f t="shared" si="11"/>
        <v>111</v>
      </c>
      <c r="R40" s="774" t="s">
        <v>17</v>
      </c>
      <c r="S40" s="775">
        <f t="shared" si="12"/>
        <v>100</v>
      </c>
      <c r="T40" s="774" t="s">
        <v>17</v>
      </c>
      <c r="U40" s="775">
        <f t="shared" si="13"/>
        <v>100</v>
      </c>
      <c r="V40" s="774" t="s">
        <v>17</v>
      </c>
      <c r="W40" s="775">
        <f t="shared" si="14"/>
        <v>100</v>
      </c>
      <c r="X40" s="1812"/>
      <c r="Y40" s="3182"/>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7"/>
      <c r="Q15" s="1809"/>
      <c r="R15" s="774"/>
      <c r="S15" s="775"/>
      <c r="T15" s="774"/>
      <c r="U15" s="775"/>
      <c r="V15" s="774"/>
      <c r="W15" s="775"/>
      <c r="X15" s="1812"/>
      <c r="Y15" s="3177"/>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77"/>
      <c r="Q17" s="1809"/>
      <c r="R17" s="774"/>
      <c r="S17" s="775"/>
      <c r="T17" s="774"/>
      <c r="U17" s="775"/>
      <c r="V17" s="774"/>
      <c r="W17" s="775"/>
      <c r="X17" s="1812"/>
      <c r="Y17" s="3177"/>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77"/>
      <c r="Q19" s="1809"/>
      <c r="R19" s="774"/>
      <c r="S19" s="775"/>
      <c r="T19" s="774"/>
      <c r="U19" s="775"/>
      <c r="V19" s="774"/>
      <c r="W19" s="775"/>
      <c r="X19" s="1812"/>
      <c r="Y19" s="3177"/>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7"/>
      <c r="Q21" s="1809"/>
      <c r="R21" s="774"/>
      <c r="S21" s="775"/>
      <c r="T21" s="774"/>
      <c r="U21" s="775"/>
      <c r="V21" s="774"/>
      <c r="W21" s="775"/>
      <c r="X21" s="1812"/>
      <c r="Y21" s="317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7"/>
      <c r="Q24" s="1809">
        <f t="shared" ref="Q24:Q36"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1"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1"/>
      <c r="Q28" s="1809" t="str">
        <f t="shared" si="11"/>
        <v>公共部分装修</v>
      </c>
      <c r="R28" s="774" t="s">
        <v>17</v>
      </c>
      <c r="S28" s="775">
        <f t="shared" si="12"/>
        <v>100</v>
      </c>
      <c r="T28" s="774" t="s">
        <v>17</v>
      </c>
      <c r="U28" s="775">
        <f t="shared" si="13"/>
        <v>100</v>
      </c>
      <c r="V28" s="774" t="s">
        <v>17</v>
      </c>
      <c r="W28" s="775">
        <f t="shared" si="14"/>
        <v>100</v>
      </c>
      <c r="X28" s="1812"/>
      <c r="Y28" s="3181"/>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1"/>
      <c r="Q29" s="1809" t="str">
        <f t="shared" si="11"/>
        <v>成新率</v>
      </c>
      <c r="R29" s="774" t="s">
        <v>17</v>
      </c>
      <c r="S29" s="775" t="e">
        <f t="shared" si="12"/>
        <v>#N/A</v>
      </c>
      <c r="T29" s="774" t="s">
        <v>17</v>
      </c>
      <c r="U29" s="775" t="e">
        <f t="shared" si="13"/>
        <v>#N/A</v>
      </c>
      <c r="V29" s="774" t="s">
        <v>17</v>
      </c>
      <c r="W29" s="775" t="e">
        <f t="shared" si="14"/>
        <v>#N/A</v>
      </c>
      <c r="X29" s="1812"/>
      <c r="Y29" s="3181"/>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1"/>
      <c r="Q30" s="1809" t="str">
        <f t="shared" si="11"/>
        <v>物业等级</v>
      </c>
      <c r="R30" s="774" t="s">
        <v>17</v>
      </c>
      <c r="S30" s="775">
        <f t="shared" si="12"/>
        <v>100</v>
      </c>
      <c r="T30" s="774" t="s">
        <v>17</v>
      </c>
      <c r="U30" s="775">
        <f t="shared" si="13"/>
        <v>100</v>
      </c>
      <c r="V30" s="774" t="s">
        <v>17</v>
      </c>
      <c r="W30" s="775">
        <f t="shared" si="14"/>
        <v>100</v>
      </c>
      <c r="X30" s="1812"/>
      <c r="Y30" s="3181"/>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1"/>
      <c r="Q31" s="1794"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1" t="s">
        <v>2566</v>
      </c>
      <c r="Q32" s="1809" t="str">
        <f t="shared" si="11"/>
        <v>车位类型</v>
      </c>
      <c r="R32" s="774" t="s">
        <v>17</v>
      </c>
      <c r="S32" s="775">
        <f t="shared" si="12"/>
        <v>100</v>
      </c>
      <c r="T32" s="774" t="s">
        <v>17</v>
      </c>
      <c r="U32" s="775">
        <f t="shared" si="13"/>
        <v>100</v>
      </c>
      <c r="V32" s="774" t="s">
        <v>17</v>
      </c>
      <c r="W32" s="775">
        <f t="shared" si="14"/>
        <v>100</v>
      </c>
      <c r="X32" s="1812"/>
      <c r="Y32" s="3181"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1"/>
      <c r="Q33" s="1809" t="str">
        <f t="shared" si="11"/>
        <v>是否直接入户</v>
      </c>
      <c r="R33" s="774" t="s">
        <v>17</v>
      </c>
      <c r="S33" s="775">
        <f t="shared" si="12"/>
        <v>100</v>
      </c>
      <c r="T33" s="774" t="s">
        <v>17</v>
      </c>
      <c r="U33" s="775">
        <f t="shared" si="13"/>
        <v>100</v>
      </c>
      <c r="V33" s="774" t="s">
        <v>17</v>
      </c>
      <c r="W33" s="775">
        <f t="shared" si="14"/>
        <v>100</v>
      </c>
      <c r="X33" s="1812"/>
      <c r="Y33" s="318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1"/>
      <c r="Q36" s="1809">
        <f t="shared" si="11"/>
        <v>111</v>
      </c>
      <c r="R36" s="774" t="s">
        <v>17</v>
      </c>
      <c r="S36" s="775">
        <f t="shared" si="12"/>
        <v>100</v>
      </c>
      <c r="T36" s="774" t="s">
        <v>17</v>
      </c>
      <c r="U36" s="775">
        <f t="shared" si="13"/>
        <v>100</v>
      </c>
      <c r="V36" s="774" t="s">
        <v>17</v>
      </c>
      <c r="W36" s="775">
        <f t="shared" si="14"/>
        <v>100</v>
      </c>
      <c r="X36" s="1812"/>
      <c r="Y36" s="3181"/>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7"/>
      <c r="Q15" s="1809"/>
      <c r="R15" s="774"/>
      <c r="S15" s="775"/>
      <c r="T15" s="774"/>
      <c r="U15" s="775"/>
      <c r="V15" s="774"/>
      <c r="W15" s="775"/>
      <c r="X15" s="1812"/>
      <c r="Y15" s="3177"/>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77"/>
      <c r="Q17" s="1809"/>
      <c r="R17" s="774"/>
      <c r="S17" s="775"/>
      <c r="T17" s="774"/>
      <c r="U17" s="775"/>
      <c r="V17" s="774"/>
      <c r="W17" s="775"/>
      <c r="X17" s="1812"/>
      <c r="Y17" s="3177"/>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77"/>
      <c r="Q19" s="1809"/>
      <c r="R19" s="774"/>
      <c r="S19" s="775"/>
      <c r="T19" s="774"/>
      <c r="U19" s="775"/>
      <c r="V19" s="774"/>
      <c r="W19" s="775"/>
      <c r="X19" s="1812"/>
      <c r="Y19" s="3177"/>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7"/>
      <c r="Q21" s="1809"/>
      <c r="R21" s="774"/>
      <c r="S21" s="775"/>
      <c r="T21" s="774"/>
      <c r="U21" s="775"/>
      <c r="V21" s="774"/>
      <c r="W21" s="775"/>
      <c r="X21" s="1812"/>
      <c r="Y21" s="317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7"/>
      <c r="Q24" s="1809">
        <f t="shared" ref="Q24:Q34"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1"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1"/>
      <c r="Q28" s="1809" t="str">
        <f t="shared" si="11"/>
        <v>物业等级</v>
      </c>
      <c r="R28" s="774" t="s">
        <v>17</v>
      </c>
      <c r="S28" s="775">
        <f t="shared" si="12"/>
        <v>100</v>
      </c>
      <c r="T28" s="774" t="s">
        <v>17</v>
      </c>
      <c r="U28" s="775">
        <f t="shared" si="13"/>
        <v>100</v>
      </c>
      <c r="V28" s="774" t="s">
        <v>17</v>
      </c>
      <c r="W28" s="775">
        <f t="shared" si="14"/>
        <v>100</v>
      </c>
      <c r="X28" s="1812"/>
      <c r="Y28" s="3181"/>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1"/>
      <c r="Q29" s="1809" t="str">
        <f t="shared" si="11"/>
        <v>有无电梯</v>
      </c>
      <c r="R29" s="774" t="s">
        <v>17</v>
      </c>
      <c r="S29" s="775">
        <f t="shared" si="12"/>
        <v>100</v>
      </c>
      <c r="T29" s="774" t="s">
        <v>17</v>
      </c>
      <c r="U29" s="775">
        <f t="shared" si="13"/>
        <v>100</v>
      </c>
      <c r="V29" s="774" t="s">
        <v>17</v>
      </c>
      <c r="W29" s="775">
        <f t="shared" si="14"/>
        <v>100</v>
      </c>
      <c r="X29" s="1812"/>
      <c r="Y29" s="3181"/>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1"/>
      <c r="Q30" s="1809" t="str">
        <f t="shared" si="11"/>
        <v>建筑面积</v>
      </c>
      <c r="R30" s="774" t="s">
        <v>17</v>
      </c>
      <c r="S30" s="775" t="e">
        <f t="shared" si="12"/>
        <v>#N/A</v>
      </c>
      <c r="T30" s="774" t="s">
        <v>17</v>
      </c>
      <c r="U30" s="775" t="e">
        <f t="shared" si="13"/>
        <v>#N/A</v>
      </c>
      <c r="V30" s="774" t="s">
        <v>17</v>
      </c>
      <c r="W30" s="775" t="e">
        <f t="shared" si="14"/>
        <v>#N/A</v>
      </c>
      <c r="X30" s="1812"/>
      <c r="Y30" s="3181"/>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1"/>
      <c r="Q31" s="1794"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1" t="s">
        <v>2566</v>
      </c>
      <c r="Q32" s="1809">
        <f t="shared" si="11"/>
        <v>111</v>
      </c>
      <c r="R32" s="774" t="s">
        <v>17</v>
      </c>
      <c r="S32" s="775">
        <f t="shared" si="12"/>
        <v>100</v>
      </c>
      <c r="T32" s="774" t="s">
        <v>17</v>
      </c>
      <c r="U32" s="775">
        <f t="shared" si="13"/>
        <v>100</v>
      </c>
      <c r="V32" s="774" t="s">
        <v>17</v>
      </c>
      <c r="W32" s="775">
        <f t="shared" si="14"/>
        <v>100</v>
      </c>
      <c r="X32" s="1812"/>
      <c r="Y32" s="3181"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1"/>
      <c r="Q33" s="1809">
        <f t="shared" si="11"/>
        <v>111</v>
      </c>
      <c r="R33" s="774" t="s">
        <v>17</v>
      </c>
      <c r="S33" s="775">
        <f t="shared" si="12"/>
        <v>100</v>
      </c>
      <c r="T33" s="774" t="s">
        <v>17</v>
      </c>
      <c r="U33" s="775">
        <f t="shared" si="13"/>
        <v>100</v>
      </c>
      <c r="V33" s="774" t="s">
        <v>17</v>
      </c>
      <c r="W33" s="775">
        <f t="shared" si="14"/>
        <v>100</v>
      </c>
      <c r="X33" s="1812"/>
      <c r="Y33" s="318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30"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30"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9"/>
      <c r="Q12" s="1794"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6" t="s">
        <v>2561</v>
      </c>
      <c r="Q15" s="1809" t="str">
        <f t="shared" si="6"/>
        <v>居住社区成熟度</v>
      </c>
      <c r="R15" s="774" t="s">
        <v>17</v>
      </c>
      <c r="S15" s="775">
        <f t="shared" si="0"/>
        <v>100</v>
      </c>
      <c r="T15" s="774" t="s">
        <v>17</v>
      </c>
      <c r="U15" s="775">
        <f t="shared" si="1"/>
        <v>100</v>
      </c>
      <c r="V15" s="774" t="s">
        <v>17</v>
      </c>
      <c r="W15" s="775">
        <f t="shared" si="2"/>
        <v>100</v>
      </c>
      <c r="X15" s="1812"/>
      <c r="Y15" s="3176"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7"/>
      <c r="Q17" s="1809" t="str">
        <f>B17</f>
        <v>商业繁华度</v>
      </c>
      <c r="R17" s="774" t="s">
        <v>17</v>
      </c>
      <c r="S17" s="775">
        <f>F17</f>
        <v>100</v>
      </c>
      <c r="T17" s="774" t="s">
        <v>17</v>
      </c>
      <c r="U17" s="775">
        <f>H17</f>
        <v>100</v>
      </c>
      <c r="V17" s="774" t="s">
        <v>17</v>
      </c>
      <c r="W17" s="775">
        <f>J17</f>
        <v>100</v>
      </c>
      <c r="X17" s="1812"/>
      <c r="Y17" s="317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7"/>
      <c r="Q19" s="1809" t="str">
        <f>B19</f>
        <v>办公集聚程度</v>
      </c>
      <c r="R19" s="774" t="s">
        <v>17</v>
      </c>
      <c r="S19" s="775">
        <f>F19</f>
        <v>100</v>
      </c>
      <c r="T19" s="774" t="s">
        <v>17</v>
      </c>
      <c r="U19" s="775">
        <f>H19</f>
        <v>100</v>
      </c>
      <c r="V19" s="774" t="s">
        <v>17</v>
      </c>
      <c r="W19" s="775">
        <f>J19</f>
        <v>100</v>
      </c>
      <c r="X19" s="1812"/>
      <c r="Y19" s="317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77"/>
      <c r="Q20" s="1809"/>
      <c r="R20" s="774"/>
      <c r="S20" s="775"/>
      <c r="T20" s="774"/>
      <c r="U20" s="775"/>
      <c r="V20" s="774"/>
      <c r="W20" s="775"/>
      <c r="X20" s="1812"/>
      <c r="Y20" s="3177"/>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7"/>
      <c r="Q21" s="1809" t="str">
        <f>B21</f>
        <v>交通便捷度</v>
      </c>
      <c r="R21" s="774" t="s">
        <v>17</v>
      </c>
      <c r="S21" s="775">
        <f>F21</f>
        <v>100</v>
      </c>
      <c r="T21" s="774" t="s">
        <v>17</v>
      </c>
      <c r="U21" s="775">
        <f>H21</f>
        <v>100</v>
      </c>
      <c r="V21" s="774" t="s">
        <v>17</v>
      </c>
      <c r="W21" s="775">
        <f>J21</f>
        <v>100</v>
      </c>
      <c r="X21" s="1812"/>
      <c r="Y21" s="317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7"/>
      <c r="Q23" s="1809" t="str">
        <f t="shared" ref="Q23:Q37" si="8">B23</f>
        <v>区域土地利用方向</v>
      </c>
      <c r="R23" s="774" t="s">
        <v>17</v>
      </c>
      <c r="S23" s="775">
        <f>F23</f>
        <v>100</v>
      </c>
      <c r="T23" s="774" t="s">
        <v>17</v>
      </c>
      <c r="U23" s="775">
        <f>H23</f>
        <v>100</v>
      </c>
      <c r="V23" s="774" t="s">
        <v>17</v>
      </c>
      <c r="W23" s="775">
        <f>J23</f>
        <v>100</v>
      </c>
      <c r="X23" s="1812"/>
      <c r="Y23" s="317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77"/>
      <c r="Q24" s="1809"/>
      <c r="R24" s="774"/>
      <c r="S24" s="775"/>
      <c r="T24" s="774"/>
      <c r="U24" s="775"/>
      <c r="V24" s="774"/>
      <c r="W24" s="775"/>
      <c r="X24" s="1812"/>
      <c r="Y24" s="3177"/>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7"/>
      <c r="Q25" s="1809" t="str">
        <f t="shared" si="8"/>
        <v>自然及人文环境状况</v>
      </c>
      <c r="R25" s="774" t="s">
        <v>17</v>
      </c>
      <c r="S25" s="775">
        <f>F25</f>
        <v>100</v>
      </c>
      <c r="T25" s="774" t="s">
        <v>17</v>
      </c>
      <c r="U25" s="775">
        <f>H25</f>
        <v>100</v>
      </c>
      <c r="V25" s="774" t="s">
        <v>17</v>
      </c>
      <c r="W25" s="775">
        <f>J25</f>
        <v>100</v>
      </c>
      <c r="X25" s="1812"/>
      <c r="Y25" s="317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77"/>
      <c r="Q26" s="1809"/>
      <c r="R26" s="774"/>
      <c r="S26" s="775"/>
      <c r="T26" s="774"/>
      <c r="U26" s="775"/>
      <c r="V26" s="774"/>
      <c r="W26" s="775"/>
      <c r="X26" s="1812"/>
      <c r="Y26" s="3177"/>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7"/>
      <c r="Q27" s="1794" t="str">
        <f t="shared" si="8"/>
        <v>公共配套设施</v>
      </c>
      <c r="R27" s="770" t="s">
        <v>17</v>
      </c>
      <c r="S27" s="771">
        <f>F27</f>
        <v>100</v>
      </c>
      <c r="T27" s="770" t="s">
        <v>17</v>
      </c>
      <c r="U27" s="771">
        <f>H27</f>
        <v>100</v>
      </c>
      <c r="V27" s="770" t="s">
        <v>17</v>
      </c>
      <c r="W27" s="771">
        <f>J27</f>
        <v>100</v>
      </c>
      <c r="X27" s="772"/>
      <c r="Y27" s="317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77"/>
      <c r="Q28" s="1794"/>
      <c r="R28" s="770"/>
      <c r="S28" s="771"/>
      <c r="T28" s="770"/>
      <c r="U28" s="771"/>
      <c r="V28" s="770"/>
      <c r="W28" s="771"/>
      <c r="X28" s="772"/>
      <c r="Y28" s="3177"/>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7"/>
      <c r="Q29" s="1794"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77"/>
      <c r="Q30" s="1794"/>
      <c r="R30" s="770"/>
      <c r="S30" s="771"/>
      <c r="T30" s="770"/>
      <c r="U30" s="771"/>
      <c r="V30" s="770"/>
      <c r="W30" s="771"/>
      <c r="X30" s="772"/>
      <c r="Y30" s="3177"/>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7"/>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7"/>
      <c r="Q32" s="1809" t="str">
        <f t="shared" si="8"/>
        <v>毗邻道路的类型与等级</v>
      </c>
      <c r="R32" s="774" t="s">
        <v>17</v>
      </c>
      <c r="S32" s="775">
        <f t="shared" si="10"/>
        <v>100</v>
      </c>
      <c r="T32" s="774" t="s">
        <v>17</v>
      </c>
      <c r="U32" s="775">
        <f t="shared" si="11"/>
        <v>100</v>
      </c>
      <c r="V32" s="774" t="s">
        <v>17</v>
      </c>
      <c r="W32" s="775">
        <f t="shared" si="12"/>
        <v>100</v>
      </c>
      <c r="X32" s="1812"/>
      <c r="Y32" s="317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77"/>
      <c r="Q33" s="1809"/>
      <c r="R33" s="774"/>
      <c r="S33" s="775"/>
      <c r="T33" s="774"/>
      <c r="U33" s="775"/>
      <c r="V33" s="774"/>
      <c r="W33" s="775"/>
      <c r="X33" s="1812"/>
      <c r="Y33" s="317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7"/>
      <c r="Q34" s="1809" t="str">
        <f t="shared" si="8"/>
        <v>土地级别</v>
      </c>
      <c r="R34" s="774" t="s">
        <v>17</v>
      </c>
      <c r="S34" s="775">
        <f t="shared" si="10"/>
        <v>100</v>
      </c>
      <c r="T34" s="774" t="s">
        <v>17</v>
      </c>
      <c r="U34" s="775">
        <f t="shared" si="11"/>
        <v>100</v>
      </c>
      <c r="V34" s="774" t="s">
        <v>17</v>
      </c>
      <c r="W34" s="775">
        <f t="shared" si="12"/>
        <v>100</v>
      </c>
      <c r="X34" s="1812"/>
      <c r="Y34" s="317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7"/>
      <c r="Q35" s="1809">
        <f t="shared" si="8"/>
        <v>111</v>
      </c>
      <c r="R35" s="774" t="s">
        <v>17</v>
      </c>
      <c r="S35" s="775">
        <f t="shared" si="10"/>
        <v>100</v>
      </c>
      <c r="T35" s="774" t="s">
        <v>17</v>
      </c>
      <c r="U35" s="775">
        <f t="shared" si="11"/>
        <v>100</v>
      </c>
      <c r="V35" s="774" t="s">
        <v>17</v>
      </c>
      <c r="W35" s="775">
        <f t="shared" si="12"/>
        <v>100</v>
      </c>
      <c r="X35" s="1812"/>
      <c r="Y35" s="317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5" t="s">
        <v>2566</v>
      </c>
      <c r="Q36" s="1809">
        <f t="shared" si="8"/>
        <v>111</v>
      </c>
      <c r="R36" s="774" t="s">
        <v>17</v>
      </c>
      <c r="S36" s="775">
        <f t="shared" si="10"/>
        <v>100</v>
      </c>
      <c r="T36" s="774" t="s">
        <v>17</v>
      </c>
      <c r="U36" s="775">
        <f t="shared" si="11"/>
        <v>100</v>
      </c>
      <c r="V36" s="774" t="s">
        <v>17</v>
      </c>
      <c r="W36" s="775">
        <f t="shared" si="12"/>
        <v>100</v>
      </c>
      <c r="X36" s="1812"/>
      <c r="Y36" s="3181"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1"/>
      <c r="Q37" s="1809">
        <f t="shared" si="8"/>
        <v>111</v>
      </c>
      <c r="R37" s="777" t="s">
        <v>17</v>
      </c>
      <c r="S37" s="778">
        <f t="shared" si="10"/>
        <v>100</v>
      </c>
      <c r="T37" s="777" t="s">
        <v>17</v>
      </c>
      <c r="U37" s="778">
        <f t="shared" si="11"/>
        <v>100</v>
      </c>
      <c r="V37" s="777" t="s">
        <v>17</v>
      </c>
      <c r="W37" s="778">
        <f t="shared" si="12"/>
        <v>100</v>
      </c>
      <c r="X37" s="779"/>
      <c r="Y37" s="3181"/>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1"/>
      <c r="Q38" s="1809" t="str">
        <f>B38</f>
        <v>宗地面积</v>
      </c>
      <c r="R38" s="774" t="s">
        <v>17</v>
      </c>
      <c r="S38" s="775" t="e">
        <f t="shared" si="10"/>
        <v>#N/A</v>
      </c>
      <c r="T38" s="774" t="s">
        <v>17</v>
      </c>
      <c r="U38" s="775" t="e">
        <f t="shared" si="11"/>
        <v>#N/A</v>
      </c>
      <c r="V38" s="774" t="s">
        <v>17</v>
      </c>
      <c r="W38" s="775" t="e">
        <f t="shared" si="12"/>
        <v>#N/A</v>
      </c>
      <c r="X38" s="1812"/>
      <c r="Y38" s="3181"/>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1"/>
      <c r="Q39" s="1809" t="str">
        <f t="shared" ref="Q39:Q45" si="14">B39</f>
        <v>宗地形状</v>
      </c>
      <c r="R39" s="774" t="s">
        <v>17</v>
      </c>
      <c r="S39" s="775">
        <f t="shared" si="10"/>
        <v>100</v>
      </c>
      <c r="T39" s="774" t="s">
        <v>17</v>
      </c>
      <c r="U39" s="775">
        <f t="shared" si="11"/>
        <v>100</v>
      </c>
      <c r="V39" s="774" t="s">
        <v>17</v>
      </c>
      <c r="W39" s="775">
        <f t="shared" si="12"/>
        <v>100</v>
      </c>
      <c r="X39" s="1812"/>
      <c r="Y39" s="3181"/>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1"/>
      <c r="Q40" s="1809" t="str">
        <f t="shared" si="14"/>
        <v>临街宽度及深度</v>
      </c>
      <c r="R40" s="774" t="s">
        <v>17</v>
      </c>
      <c r="S40" s="775">
        <f t="shared" si="10"/>
        <v>100</v>
      </c>
      <c r="T40" s="774" t="s">
        <v>17</v>
      </c>
      <c r="U40" s="775">
        <f t="shared" si="11"/>
        <v>100</v>
      </c>
      <c r="V40" s="774" t="s">
        <v>17</v>
      </c>
      <c r="W40" s="775">
        <f t="shared" si="12"/>
        <v>100</v>
      </c>
      <c r="X40" s="1812"/>
      <c r="Y40" s="3181"/>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1"/>
      <c r="Q41" s="1809"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1" t="s">
        <v>2566</v>
      </c>
      <c r="Q42" s="1809" t="str">
        <f t="shared" si="14"/>
        <v>工程地质条件</v>
      </c>
      <c r="R42" s="774" t="s">
        <v>17</v>
      </c>
      <c r="S42" s="775">
        <f t="shared" si="10"/>
        <v>100</v>
      </c>
      <c r="T42" s="774" t="s">
        <v>17</v>
      </c>
      <c r="U42" s="775">
        <f t="shared" si="11"/>
        <v>100</v>
      </c>
      <c r="V42" s="774" t="s">
        <v>17</v>
      </c>
      <c r="W42" s="775">
        <f t="shared" si="12"/>
        <v>100</v>
      </c>
      <c r="X42" s="1812"/>
      <c r="Y42" s="3181"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1"/>
      <c r="Q43" s="1809">
        <f t="shared" si="14"/>
        <v>111</v>
      </c>
      <c r="R43" s="774" t="s">
        <v>17</v>
      </c>
      <c r="S43" s="775">
        <f t="shared" si="10"/>
        <v>100</v>
      </c>
      <c r="T43" s="774" t="s">
        <v>17</v>
      </c>
      <c r="U43" s="775">
        <f t="shared" si="11"/>
        <v>100</v>
      </c>
      <c r="V43" s="774" t="s">
        <v>17</v>
      </c>
      <c r="W43" s="775">
        <f t="shared" si="12"/>
        <v>100</v>
      </c>
      <c r="X43" s="1812"/>
      <c r="Y43" s="318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1"/>
      <c r="Q44" s="1809">
        <f t="shared" si="14"/>
        <v>111</v>
      </c>
      <c r="R44" s="774" t="s">
        <v>17</v>
      </c>
      <c r="S44" s="775">
        <f t="shared" si="10"/>
        <v>100</v>
      </c>
      <c r="T44" s="774" t="s">
        <v>17</v>
      </c>
      <c r="U44" s="775">
        <f t="shared" si="11"/>
        <v>100</v>
      </c>
      <c r="V44" s="774" t="s">
        <v>17</v>
      </c>
      <c r="W44" s="775">
        <f t="shared" si="12"/>
        <v>100</v>
      </c>
      <c r="X44" s="1812"/>
      <c r="Y44" s="3181"/>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1"/>
      <c r="Q45" s="1809">
        <f t="shared" si="14"/>
        <v>111</v>
      </c>
      <c r="R45" s="777" t="s">
        <v>17</v>
      </c>
      <c r="S45" s="778">
        <f t="shared" si="10"/>
        <v>100</v>
      </c>
      <c r="T45" s="777" t="s">
        <v>17</v>
      </c>
      <c r="U45" s="778">
        <f t="shared" si="11"/>
        <v>100</v>
      </c>
      <c r="V45" s="777" t="s">
        <v>17</v>
      </c>
      <c r="W45" s="778">
        <f t="shared" si="12"/>
        <v>100</v>
      </c>
      <c r="X45" s="779"/>
      <c r="Y45" s="3181"/>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169" t="str">
        <f>A46</f>
        <v>成交单价</v>
      </c>
      <c r="Q46" s="3169"/>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69" t="str">
        <f>A47</f>
        <v>比较价值（元/平方米）</v>
      </c>
      <c r="Q47" s="316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54" t="str">
        <f>A48</f>
        <v>估价对象XX用房的比较价值（楼面单价，元/平方米）</v>
      </c>
      <c r="Q48" s="3255"/>
      <c r="R48" s="3267" t="e">
        <f>ROUND(AVERAGE(R47:V47),0)</f>
        <v>#DIV/0!</v>
      </c>
      <c r="S48" s="3267"/>
      <c r="T48" s="3267"/>
      <c r="U48" s="3267"/>
      <c r="V48" s="3267"/>
      <c r="W48" s="326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86" t="s">
        <v>2765</v>
      </c>
      <c r="H55" s="3268"/>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68"/>
      <c r="H56" s="316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69"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69"/>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69"/>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69"/>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7128.3</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8246.2800000000007</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41293.96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70" t="s">
        <v>2798</v>
      </c>
      <c r="D6" s="3271"/>
      <c r="E6" s="3272" t="s">
        <v>2798</v>
      </c>
      <c r="F6" s="3273"/>
      <c r="G6" s="3270" t="s">
        <v>2798</v>
      </c>
      <c r="H6" s="3271"/>
      <c r="I6" s="3270" t="s">
        <v>2798</v>
      </c>
      <c r="J6" s="3271"/>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7"/>
      <c r="Q19" s="1809" t="str">
        <f t="shared" ref="Q19:Q33" si="8">B19</f>
        <v>区域土地利用方向</v>
      </c>
      <c r="R19" s="774" t="s">
        <v>17</v>
      </c>
      <c r="S19" s="775">
        <f>F19</f>
        <v>100</v>
      </c>
      <c r="T19" s="774" t="s">
        <v>17</v>
      </c>
      <c r="U19" s="775">
        <f>H19</f>
        <v>100</v>
      </c>
      <c r="V19" s="774" t="s">
        <v>17</v>
      </c>
      <c r="W19" s="775">
        <f>J19</f>
        <v>100</v>
      </c>
      <c r="X19" s="1812"/>
      <c r="Y19" s="317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77"/>
      <c r="Q20" s="1809"/>
      <c r="R20" s="774"/>
      <c r="S20" s="775"/>
      <c r="T20" s="774"/>
      <c r="U20" s="775"/>
      <c r="V20" s="774"/>
      <c r="W20" s="775"/>
      <c r="X20" s="1812"/>
      <c r="Y20" s="3177"/>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7"/>
      <c r="Q21" s="1809" t="str">
        <f t="shared" si="8"/>
        <v>环境状况</v>
      </c>
      <c r="R21" s="774" t="s">
        <v>17</v>
      </c>
      <c r="S21" s="775">
        <f>F21</f>
        <v>100</v>
      </c>
      <c r="T21" s="774" t="s">
        <v>17</v>
      </c>
      <c r="U21" s="775">
        <f>H21</f>
        <v>100</v>
      </c>
      <c r="V21" s="774" t="s">
        <v>17</v>
      </c>
      <c r="W21" s="775">
        <f>J21</f>
        <v>100</v>
      </c>
      <c r="X21" s="1812"/>
      <c r="Y21" s="317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7"/>
      <c r="Q23" s="1794" t="str">
        <f t="shared" si="8"/>
        <v>公共配套设施</v>
      </c>
      <c r="R23" s="770" t="s">
        <v>17</v>
      </c>
      <c r="S23" s="771">
        <f>F23</f>
        <v>100</v>
      </c>
      <c r="T23" s="770" t="s">
        <v>17</v>
      </c>
      <c r="U23" s="771">
        <f>H23</f>
        <v>100</v>
      </c>
      <c r="V23" s="770" t="s">
        <v>17</v>
      </c>
      <c r="W23" s="771">
        <f>J23</f>
        <v>100</v>
      </c>
      <c r="X23" s="772"/>
      <c r="Y23" s="317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77"/>
      <c r="Q24" s="1794"/>
      <c r="R24" s="770"/>
      <c r="S24" s="771"/>
      <c r="T24" s="770"/>
      <c r="U24" s="771"/>
      <c r="V24" s="770"/>
      <c r="W24" s="771"/>
      <c r="X24" s="772"/>
      <c r="Y24" s="3177"/>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7"/>
      <c r="Q25" s="1794"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77"/>
      <c r="Q26" s="1794"/>
      <c r="R26" s="770"/>
      <c r="S26" s="771"/>
      <c r="T26" s="770"/>
      <c r="U26" s="771"/>
      <c r="V26" s="770"/>
      <c r="W26" s="771"/>
      <c r="X26" s="772"/>
      <c r="Y26" s="317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7"/>
      <c r="Q28" s="1809" t="str">
        <f t="shared" si="8"/>
        <v>毗邻道路的类型与等级</v>
      </c>
      <c r="R28" s="774" t="s">
        <v>17</v>
      </c>
      <c r="S28" s="775">
        <f t="shared" si="10"/>
        <v>100</v>
      </c>
      <c r="T28" s="774" t="s">
        <v>17</v>
      </c>
      <c r="U28" s="775">
        <f t="shared" si="11"/>
        <v>100</v>
      </c>
      <c r="V28" s="774" t="s">
        <v>17</v>
      </c>
      <c r="W28" s="775">
        <f t="shared" si="12"/>
        <v>100</v>
      </c>
      <c r="X28" s="1812"/>
      <c r="Y28" s="317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77"/>
      <c r="Q29" s="1809"/>
      <c r="R29" s="774"/>
      <c r="S29" s="775"/>
      <c r="T29" s="774"/>
      <c r="U29" s="775"/>
      <c r="V29" s="774"/>
      <c r="W29" s="775"/>
      <c r="X29" s="1812"/>
      <c r="Y29" s="3177"/>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7"/>
      <c r="Q30" s="1809" t="str">
        <f t="shared" si="8"/>
        <v>土地级别</v>
      </c>
      <c r="R30" s="774" t="s">
        <v>17</v>
      </c>
      <c r="S30" s="775">
        <f t="shared" si="10"/>
        <v>100</v>
      </c>
      <c r="T30" s="774" t="s">
        <v>17</v>
      </c>
      <c r="U30" s="775">
        <f t="shared" si="11"/>
        <v>100</v>
      </c>
      <c r="V30" s="774" t="s">
        <v>17</v>
      </c>
      <c r="W30" s="775">
        <f t="shared" si="12"/>
        <v>100</v>
      </c>
      <c r="X30" s="1812"/>
      <c r="Y30" s="317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7"/>
      <c r="Q31" s="1809">
        <f t="shared" si="8"/>
        <v>111</v>
      </c>
      <c r="R31" s="774" t="s">
        <v>17</v>
      </c>
      <c r="S31" s="775">
        <f t="shared" si="10"/>
        <v>100</v>
      </c>
      <c r="T31" s="774" t="s">
        <v>17</v>
      </c>
      <c r="U31" s="775">
        <f t="shared" si="11"/>
        <v>100</v>
      </c>
      <c r="V31" s="774" t="s">
        <v>17</v>
      </c>
      <c r="W31" s="775">
        <f t="shared" si="12"/>
        <v>100</v>
      </c>
      <c r="X31" s="1812"/>
      <c r="Y31" s="317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5" t="s">
        <v>2566</v>
      </c>
      <c r="Q32" s="1809">
        <f t="shared" si="8"/>
        <v>111</v>
      </c>
      <c r="R32" s="774" t="s">
        <v>17</v>
      </c>
      <c r="S32" s="775">
        <f t="shared" si="10"/>
        <v>100</v>
      </c>
      <c r="T32" s="774" t="s">
        <v>17</v>
      </c>
      <c r="U32" s="775">
        <f t="shared" si="11"/>
        <v>100</v>
      </c>
      <c r="V32" s="774" t="s">
        <v>17</v>
      </c>
      <c r="W32" s="775">
        <f t="shared" si="12"/>
        <v>100</v>
      </c>
      <c r="X32" s="1812"/>
      <c r="Y32" s="3181"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1"/>
      <c r="Q33" s="1809">
        <f t="shared" si="8"/>
        <v>111</v>
      </c>
      <c r="R33" s="777" t="s">
        <v>17</v>
      </c>
      <c r="S33" s="778">
        <f t="shared" si="10"/>
        <v>100</v>
      </c>
      <c r="T33" s="777" t="s">
        <v>17</v>
      </c>
      <c r="U33" s="778">
        <f t="shared" si="11"/>
        <v>100</v>
      </c>
      <c r="V33" s="777" t="s">
        <v>17</v>
      </c>
      <c r="W33" s="778">
        <f t="shared" si="12"/>
        <v>100</v>
      </c>
      <c r="X33" s="779"/>
      <c r="Y33" s="3181"/>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1"/>
      <c r="Q34" s="1809" t="str">
        <f>B34</f>
        <v>宗地面积</v>
      </c>
      <c r="R34" s="774" t="s">
        <v>17</v>
      </c>
      <c r="S34" s="775" t="e">
        <f t="shared" si="10"/>
        <v>#N/A</v>
      </c>
      <c r="T34" s="774" t="s">
        <v>17</v>
      </c>
      <c r="U34" s="775" t="e">
        <f t="shared" si="11"/>
        <v>#N/A</v>
      </c>
      <c r="V34" s="774" t="s">
        <v>17</v>
      </c>
      <c r="W34" s="775" t="e">
        <f t="shared" si="12"/>
        <v>#N/A</v>
      </c>
      <c r="X34" s="1812"/>
      <c r="Y34" s="3181"/>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1"/>
      <c r="Q35" s="1809" t="str">
        <f t="shared" ref="Q35:Q40" si="14">B35</f>
        <v>宗地形状</v>
      </c>
      <c r="R35" s="774" t="s">
        <v>17</v>
      </c>
      <c r="S35" s="775">
        <f t="shared" si="10"/>
        <v>100</v>
      </c>
      <c r="T35" s="774" t="s">
        <v>17</v>
      </c>
      <c r="U35" s="775">
        <f t="shared" si="11"/>
        <v>100</v>
      </c>
      <c r="V35" s="774" t="s">
        <v>17</v>
      </c>
      <c r="W35" s="775">
        <f t="shared" si="12"/>
        <v>100</v>
      </c>
      <c r="X35" s="1812"/>
      <c r="Y35" s="3181"/>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1"/>
      <c r="Q36" s="1809"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1" t="s">
        <v>2566</v>
      </c>
      <c r="Q37" s="1809" t="str">
        <f t="shared" si="14"/>
        <v>工程地质条件</v>
      </c>
      <c r="R37" s="774" t="s">
        <v>17</v>
      </c>
      <c r="S37" s="775">
        <f t="shared" si="10"/>
        <v>100</v>
      </c>
      <c r="T37" s="774" t="s">
        <v>17</v>
      </c>
      <c r="U37" s="775">
        <f t="shared" si="11"/>
        <v>100</v>
      </c>
      <c r="V37" s="774" t="s">
        <v>17</v>
      </c>
      <c r="W37" s="775">
        <f t="shared" si="12"/>
        <v>100</v>
      </c>
      <c r="X37" s="1812"/>
      <c r="Y37" s="3181"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1"/>
      <c r="Q38" s="1809">
        <f t="shared" si="14"/>
        <v>111</v>
      </c>
      <c r="R38" s="774" t="s">
        <v>17</v>
      </c>
      <c r="S38" s="775">
        <f t="shared" si="10"/>
        <v>100</v>
      </c>
      <c r="T38" s="774" t="s">
        <v>17</v>
      </c>
      <c r="U38" s="775">
        <f t="shared" si="11"/>
        <v>100</v>
      </c>
      <c r="V38" s="774" t="s">
        <v>17</v>
      </c>
      <c r="W38" s="775">
        <f t="shared" si="12"/>
        <v>100</v>
      </c>
      <c r="X38" s="1812"/>
      <c r="Y38" s="318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1"/>
      <c r="Q39" s="1809">
        <f t="shared" si="14"/>
        <v>111</v>
      </c>
      <c r="R39" s="774" t="s">
        <v>17</v>
      </c>
      <c r="S39" s="775">
        <f t="shared" si="10"/>
        <v>100</v>
      </c>
      <c r="T39" s="774" t="s">
        <v>17</v>
      </c>
      <c r="U39" s="775">
        <f t="shared" si="11"/>
        <v>100</v>
      </c>
      <c r="V39" s="774" t="s">
        <v>17</v>
      </c>
      <c r="W39" s="775">
        <f t="shared" si="12"/>
        <v>100</v>
      </c>
      <c r="X39" s="1812"/>
      <c r="Y39" s="3181"/>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1"/>
      <c r="Q40" s="1809">
        <f t="shared" si="14"/>
        <v>111</v>
      </c>
      <c r="R40" s="777" t="s">
        <v>17</v>
      </c>
      <c r="S40" s="778">
        <f t="shared" si="10"/>
        <v>100</v>
      </c>
      <c r="T40" s="777" t="s">
        <v>17</v>
      </c>
      <c r="U40" s="778">
        <f t="shared" si="11"/>
        <v>100</v>
      </c>
      <c r="V40" s="777" t="s">
        <v>17</v>
      </c>
      <c r="W40" s="778">
        <f t="shared" si="12"/>
        <v>100</v>
      </c>
      <c r="X40" s="779"/>
      <c r="Y40" s="3181"/>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169" t="str">
        <f>A41</f>
        <v>成交单价</v>
      </c>
      <c r="Q41" s="3169"/>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69" t="str">
        <f>A42</f>
        <v>比较价值（元/平方米）</v>
      </c>
      <c r="Q42" s="316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54" t="str">
        <f>A43</f>
        <v>估价对象XX用房的比较价值（楼面单价，元/平方米）</v>
      </c>
      <c r="Q43" s="3255"/>
      <c r="R43" s="3267" t="e">
        <f>ROUND(AVERAGE(R42:V42),0)</f>
        <v>#DIV/0!</v>
      </c>
      <c r="S43" s="3267"/>
      <c r="T43" s="3267"/>
      <c r="U43" s="3267"/>
      <c r="V43" s="3267"/>
      <c r="W43" s="326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86" t="s">
        <v>2765</v>
      </c>
      <c r="H50" s="3268"/>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68"/>
      <c r="H51" s="316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69"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69"/>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69"/>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69"/>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7128.3</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8246.2800000000007</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E14" sqref="E1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3113</v>
      </c>
      <c r="D4" s="2427" t="s">
        <v>3114</v>
      </c>
      <c r="E4" s="3105" t="s">
        <v>2123</v>
      </c>
      <c r="F4" s="3106"/>
      <c r="G4" s="3106"/>
      <c r="H4" s="3106"/>
      <c r="I4" s="3114"/>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4</v>
      </c>
      <c r="D14" s="3111">
        <v>6</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7128.3</v>
      </c>
      <c r="M18" s="2428">
        <f>IF(C1="",'数据-汇总表'!E3,SUMIF(项目类型,C1,'数据-汇总表'!E17:E26))</f>
        <v>7128.3</v>
      </c>
    </row>
    <row r="19" spans="1:35" ht="15">
      <c r="A19" s="2434" t="s">
        <v>2146</v>
      </c>
      <c r="B19" s="2435" t="s">
        <v>2147</v>
      </c>
      <c r="C19" s="143">
        <f ca="1">SUMIF(INDIRECT("'"&amp;C4&amp;"'"&amp;"!A:A"),'结果表-仓储'!B19,INDIRECT("'"&amp;C4&amp;"'"&amp;"!B:B"))</f>
        <v>7722</v>
      </c>
      <c r="D19" s="144">
        <f ca="1">SUMIF(INDIRECT("'"&amp;D4&amp;"'"&amp;"!A:A"),'结果表-仓储'!B19,INDIRECT("'"&amp;D4&amp;"'"&amp;"!B:B"))</f>
        <v>26061</v>
      </c>
      <c r="E19" s="2434" t="s">
        <v>2148</v>
      </c>
      <c r="F19" s="2435" t="s">
        <v>2147</v>
      </c>
      <c r="G19" s="145">
        <f ca="1">ROUND(C19*$C$18+D19*$D$18,0)</f>
        <v>18725</v>
      </c>
      <c r="H19" s="2436" t="s">
        <v>2149</v>
      </c>
      <c r="I19" s="138"/>
      <c r="K19" s="2428" t="s">
        <v>2150</v>
      </c>
      <c r="L19" s="2428">
        <f>IF(C1="",'数据-汇总表'!D3,SUMIF(项目类型,C1,'数据-汇总表'!D17:D26)+SUMIF(项目类型,C1,'数据-汇总表'!H17:H27))</f>
        <v>2298.59</v>
      </c>
      <c r="M19" s="2428">
        <f>IF(C1="",'数据-汇总表'!D3,SUMIF(项目类型,C1,'数据-汇总表'!D17:D26))</f>
        <v>2298.59</v>
      </c>
    </row>
    <row r="20" spans="1:35" ht="15">
      <c r="A20" s="2437"/>
      <c r="B20" s="1246" t="s">
        <v>2151</v>
      </c>
      <c r="C20" s="146">
        <f ca="1">SUMIF(INDIRECT("'"&amp;C4&amp;"'"&amp;"!A:A"),'结果表-仓储'!B20,INDIRECT("'"&amp;C4&amp;"'"&amp;"!B:B"))</f>
        <v>10833</v>
      </c>
      <c r="D20" s="147">
        <f ca="1">SUMIF(INDIRECT("'"&amp;D4&amp;"'"&amp;"!A:A"),'结果表-仓储'!B20,INDIRECT("'"&amp;D4&amp;"'"&amp;"!B:B"))</f>
        <v>36560</v>
      </c>
      <c r="E20" s="2437"/>
      <c r="F20" s="1246" t="s">
        <v>2151</v>
      </c>
      <c r="G20" s="148">
        <f ca="1">ROUND(C20*$C$18+D20*$D$18,0)</f>
        <v>26269</v>
      </c>
      <c r="H20" s="979" t="s">
        <v>2152</v>
      </c>
      <c r="I20" s="138"/>
    </row>
    <row r="21" spans="1:35" ht="15" customHeight="1" thickBot="1">
      <c r="A21" s="999"/>
      <c r="B21" s="2438" t="s">
        <v>2153</v>
      </c>
      <c r="C21" s="789">
        <f ca="1">ROUND(C19*10000/L19,0)</f>
        <v>33595</v>
      </c>
      <c r="D21" s="790">
        <f ca="1">ROUND(D19*10000/L19,0)</f>
        <v>113378</v>
      </c>
      <c r="E21" s="999"/>
      <c r="F21" s="2438" t="s">
        <v>2153</v>
      </c>
      <c r="G21" s="149">
        <f ca="1">ROUND(G19*10000/L19,0)</f>
        <v>81463</v>
      </c>
      <c r="H21" s="2439" t="s">
        <v>2152</v>
      </c>
      <c r="I21" s="138"/>
    </row>
    <row r="22" spans="1:35" ht="15" thickBot="1">
      <c r="A22" s="2280" t="s">
        <v>2154</v>
      </c>
      <c r="B22" s="2440"/>
      <c r="C22" s="2441"/>
      <c r="D22" s="791">
        <f ca="1">IF(C19&lt;D19,D19/C19-1,C19/D19-1)</f>
        <v>2.3749028749028751</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18725</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11366</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7359</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18725</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18725</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18725</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999</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999</v>
      </c>
      <c r="E53" s="11" t="s">
        <v>2212</v>
      </c>
      <c r="F53" s="184">
        <f>'数据-取费表'!B41</f>
        <v>5.6000000000000001E-2</v>
      </c>
      <c r="G53" s="2485"/>
      <c r="H53" s="138"/>
      <c r="I53" s="2483"/>
      <c r="J53" s="2961">
        <v>2</v>
      </c>
      <c r="K53" s="3140" t="s">
        <v>2216</v>
      </c>
      <c r="L53" s="3140"/>
      <c r="M53" s="1750">
        <f t="shared" ref="M53:O54" ca="1" si="0">D55</f>
        <v>9</v>
      </c>
      <c r="N53" s="2961" t="str">
        <f t="shared" si="0"/>
        <v>销售额×税（费）率</v>
      </c>
      <c r="O53" s="1751">
        <f t="shared" si="0"/>
        <v>5.0000000000000001E-4</v>
      </c>
    </row>
    <row r="54" spans="1:35" ht="12" customHeight="1">
      <c r="A54" s="183" t="s">
        <v>2217</v>
      </c>
      <c r="B54" s="3098" t="s">
        <v>2218</v>
      </c>
      <c r="C54" s="3099"/>
      <c r="D54" s="182">
        <f ca="1">C68</f>
        <v>999</v>
      </c>
      <c r="E54" s="30" t="s">
        <v>2219</v>
      </c>
      <c r="F54" s="184">
        <f>'数据-取费表'!B41</f>
        <v>5.6000000000000001E-2</v>
      </c>
      <c r="G54" s="2485"/>
      <c r="H54" s="2486"/>
      <c r="I54" s="2483"/>
      <c r="J54" s="2961">
        <v>3</v>
      </c>
      <c r="K54" s="3140" t="s">
        <v>2220</v>
      </c>
      <c r="L54" s="3140"/>
      <c r="M54" s="1750">
        <f t="shared" ca="1" si="0"/>
        <v>10598</v>
      </c>
      <c r="N54" s="2961" t="str">
        <f t="shared" si="0"/>
        <v>增值额×税（费）率</v>
      </c>
      <c r="O54" s="1752" t="str">
        <f t="shared" si="0"/>
        <v>——</v>
      </c>
    </row>
    <row r="55" spans="1:35" ht="24" customHeight="1">
      <c r="A55" s="3089" t="s">
        <v>2221</v>
      </c>
      <c r="B55" s="3090"/>
      <c r="C55" s="3090"/>
      <c r="D55" s="185">
        <f ca="1">IF(H55="个人住宅",0,ROUND(D45*I55,0))</f>
        <v>9</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10598</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IF(AND(J55="",J56=""),4,IF(项目基本情况!K6="上海银行",'结果表-仓储'!J56+1,'结果表-仓储'!J55+1))</f>
        <v>4</v>
      </c>
      <c r="K57" s="3140" t="s">
        <v>2228</v>
      </c>
      <c r="L57" s="2490" t="s">
        <v>2229</v>
      </c>
      <c r="M57" s="1755"/>
      <c r="N57" s="1756">
        <f ca="1">SUMIF(M52:M56,"&lt;9e307")</f>
        <v>10607</v>
      </c>
      <c r="O57" s="2491"/>
      <c r="P57" s="1749">
        <f ca="1">N57/M49</f>
        <v>0.5664619492656876</v>
      </c>
    </row>
    <row r="58" spans="1:35" ht="24.75">
      <c r="A58" s="183" t="s">
        <v>2210</v>
      </c>
      <c r="B58" s="3105" t="s">
        <v>2230</v>
      </c>
      <c r="C58" s="3106"/>
      <c r="D58" s="185">
        <f ca="1">IF(H58="转让取得",C81,C97)</f>
        <v>10598</v>
      </c>
      <c r="E58" s="11" t="s">
        <v>2225</v>
      </c>
      <c r="F58" s="24" t="s">
        <v>34</v>
      </c>
      <c r="G58" s="2485"/>
      <c r="H58" s="2488" t="s">
        <v>2231</v>
      </c>
      <c r="I58" s="2489"/>
      <c r="J58" s="3140"/>
      <c r="K58" s="3140"/>
      <c r="L58" s="2490" t="s">
        <v>2232</v>
      </c>
      <c r="M58" s="1757"/>
      <c r="N58" s="2492" t="str">
        <f ca="1">NUMBERSTRING(INT(N57*10000),2)&amp;"元整"</f>
        <v>壹亿零陆佰零柒万元整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8118</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捌仟壹佰壹拾捌万元整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1966</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17833</v>
      </c>
      <c r="D63" s="195"/>
      <c r="E63" s="196"/>
      <c r="F63" s="2489"/>
      <c r="G63" s="2489"/>
      <c r="H63" s="2497"/>
      <c r="I63" s="138"/>
      <c r="J63" s="3165" t="s">
        <v>2242</v>
      </c>
      <c r="K63" s="2957" t="s">
        <v>2243</v>
      </c>
      <c r="L63" s="1748">
        <f ca="1">IF(M49&gt;10000,M49*0.5%,IF(AND(M49&gt;1000,M49&lt;=10000),M49*1%,IF(AND(M49&gt;100,M49&lt;=1000),M49*3%,IF(AND(M49&gt;10,M49&lt;=100),M49*5%,M49*8%))))</f>
        <v>93.625</v>
      </c>
      <c r="M63" s="24">
        <f ca="1">ROUND(L63,1)</f>
        <v>93.6</v>
      </c>
      <c r="Z63" s="2423"/>
      <c r="AI63" s="2424"/>
    </row>
    <row r="64" spans="1:35" ht="14.25" customHeight="1">
      <c r="A64" s="197" t="s">
        <v>770</v>
      </c>
      <c r="B64" s="198" t="s">
        <v>2244</v>
      </c>
      <c r="C64" s="199">
        <f ca="1">D45</f>
        <v>18725</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93.625</v>
      </c>
      <c r="M64" s="24">
        <f t="shared" ref="M64:M65" ca="1" si="1">ROUND(L64,1)</f>
        <v>93.6</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18.725000000000001</v>
      </c>
      <c r="M65" s="24">
        <f t="shared" ca="1" si="1"/>
        <v>18.7</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93.625</v>
      </c>
      <c r="M66" s="24">
        <f ca="1">IF(L66&gt;0.5,0.5,ROUND(L66,0))</f>
        <v>0.5</v>
      </c>
      <c r="N66" s="138" t="s">
        <v>2251</v>
      </c>
      <c r="Z66" s="2423"/>
      <c r="AI66" s="2424"/>
    </row>
    <row r="67" spans="1:35" ht="14.25" customHeight="1">
      <c r="A67" s="203" t="s">
        <v>773</v>
      </c>
      <c r="B67" s="204" t="s">
        <v>2252</v>
      </c>
      <c r="C67" s="207">
        <f ca="1">C63-C66</f>
        <v>17833</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9.1225000000000005</v>
      </c>
      <c r="M67" s="24">
        <f ca="1">ROUND(L67*0.9,1)</f>
        <v>8.1999999999999993</v>
      </c>
      <c r="Z67" s="2423"/>
      <c r="AI67" s="2424"/>
    </row>
    <row r="68" spans="1:35" ht="14.25" customHeight="1" thickBot="1">
      <c r="A68" s="208" t="s">
        <v>774</v>
      </c>
      <c r="B68" s="209" t="s">
        <v>2254</v>
      </c>
      <c r="C68" s="210">
        <f ca="1">IF(C67&lt;=0,0,ROUND(C67*D68,0))</f>
        <v>999</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93.625</v>
      </c>
      <c r="M68" s="24">
        <f ca="1">ROUND(L68,1)</f>
        <v>93.6</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308</v>
      </c>
      <c r="N69" s="1749">
        <f ca="1">M69/M49</f>
        <v>1.6448598130841121E-2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17833</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107</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107</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17726</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165.66355140186917</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10598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17833</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107</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107</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17726</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165.66355140186917</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10598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成本法-仓储</v>
      </c>
      <c r="D101" s="737" t="str">
        <f>D4</f>
        <v>收益法-仓储</v>
      </c>
      <c r="E101" s="3162" t="s">
        <v>2297</v>
      </c>
      <c r="F101" s="3116"/>
      <c r="G101" s="2520" t="s">
        <v>2298</v>
      </c>
      <c r="H101" s="1044">
        <f ca="1">H118</f>
        <v>18725</v>
      </c>
      <c r="I101" s="138"/>
    </row>
    <row r="102" spans="1:35" ht="18.75" customHeight="1">
      <c r="A102" s="3118" t="s">
        <v>2299</v>
      </c>
      <c r="B102" s="2520" t="s">
        <v>2298</v>
      </c>
      <c r="C102" s="736">
        <f ca="1">C19</f>
        <v>7722</v>
      </c>
      <c r="D102" s="737">
        <f ca="1">D19</f>
        <v>26061</v>
      </c>
      <c r="E102" s="3162"/>
      <c r="F102" s="3116"/>
      <c r="G102" s="2520" t="s">
        <v>2300</v>
      </c>
      <c r="H102" s="371">
        <f ca="1">I118</f>
        <v>26269</v>
      </c>
      <c r="I102" s="138"/>
    </row>
    <row r="103" spans="1:35" ht="42.75" customHeight="1">
      <c r="A103" s="3118"/>
      <c r="B103" s="2520" t="s">
        <v>2300</v>
      </c>
      <c r="C103" s="738">
        <f ca="1">C20</f>
        <v>10833</v>
      </c>
      <c r="D103" s="739">
        <f ca="1">D20</f>
        <v>36560</v>
      </c>
      <c r="E103" s="3157" t="s">
        <v>2301</v>
      </c>
      <c r="F103" s="3158"/>
      <c r="G103" s="2521" t="s">
        <v>2302</v>
      </c>
      <c r="H103" s="1044">
        <f>IF(D36="正常操作",H104+H105+H106,H105+H106)</f>
        <v>0</v>
      </c>
      <c r="I103" s="138"/>
    </row>
    <row r="104" spans="1:35" ht="18.75" customHeight="1">
      <c r="A104" s="3118" t="s">
        <v>2303</v>
      </c>
      <c r="B104" s="2522" t="s">
        <v>2298</v>
      </c>
      <c r="C104" s="740">
        <f ca="1">H118</f>
        <v>18725</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26269</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18725</v>
      </c>
      <c r="I107" s="138"/>
    </row>
    <row r="108" spans="1:35" ht="18.75" customHeight="1">
      <c r="A108" s="138"/>
      <c r="B108" s="138"/>
      <c r="C108" s="138"/>
      <c r="D108" s="138"/>
      <c r="E108" s="3115"/>
      <c r="F108" s="3116"/>
      <c r="G108" s="2520" t="s">
        <v>2300</v>
      </c>
      <c r="H108" s="371">
        <f ca="1">ROUND(H107*10000/'数据-汇总表'!E3,0)</f>
        <v>4535</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7128.3</v>
      </c>
      <c r="C118" s="2953">
        <f>M19</f>
        <v>2298.59</v>
      </c>
      <c r="D118" s="2953">
        <f ca="1">ROUND(IF(D32="总价",C34,E118*B118/10000),0)</f>
        <v>11366</v>
      </c>
      <c r="E118" s="2953">
        <f ca="1">ROUND(IF(C33="自定义",IF(D32="楼面单价",C34,D118*10000/B118),I118-G118),0)</f>
        <v>15945</v>
      </c>
      <c r="F118" s="2953">
        <f ca="1">ROUND(IF(D32="总价",C35,G118*B118/10000),0)</f>
        <v>7359</v>
      </c>
      <c r="G118" s="2953">
        <f ca="1">ROUND(IF(D32="楼面单价",C35,F118*10000/B118),0)</f>
        <v>10324</v>
      </c>
      <c r="H118" s="2953">
        <f ca="1">ROUND(IF(D32="总价",C32,I118*B118/10000),0)</f>
        <v>18725</v>
      </c>
      <c r="I118" s="2953">
        <f ca="1">ROUND(IF(D32="楼面单价",C32,H118*10000/B118),0)</f>
        <v>26269</v>
      </c>
    </row>
    <row r="119" spans="1:11" ht="18.75" customHeight="1">
      <c r="A119" s="3026" t="s">
        <v>2318</v>
      </c>
      <c r="B119" s="3026"/>
      <c r="C119" s="3026"/>
      <c r="D119" s="3126" t="str">
        <f ca="1">NUMBERSTRING(INT(D118*10000),2)&amp;"元整"</f>
        <v>壹亿壹仟叁佰陆拾陆万元整</v>
      </c>
      <c r="E119" s="3128"/>
      <c r="F119" s="3126" t="str">
        <f ca="1">NUMBERSTRING(INT(F118*10000),2)&amp;"元整"</f>
        <v>柒仟叁佰伍拾玖万元整</v>
      </c>
      <c r="G119" s="3128"/>
      <c r="H119" s="3126" t="str">
        <f ca="1">NUMBERSTRING(INT(H118*10000),2)&amp;"元整"</f>
        <v>壹亿捌仟柒佰贰拾伍万元整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18725</v>
      </c>
      <c r="E122" s="3155"/>
      <c r="F122" s="3155"/>
      <c r="G122" s="3155"/>
      <c r="H122" s="3155"/>
      <c r="I122" s="3156"/>
    </row>
    <row r="123" spans="1:11" ht="18.75" customHeight="1">
      <c r="A123" s="3026" t="s">
        <v>2318</v>
      </c>
      <c r="B123" s="3026"/>
      <c r="C123" s="3026"/>
      <c r="D123" s="3126" t="str">
        <f ca="1">NUMBERSTRING(INT(D122*10000),2)&amp;"元整"</f>
        <v>壹亿捌仟柒佰贰拾伍万元整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7722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3051</v>
      </c>
      <c r="D5" s="255" t="s">
        <v>2335</v>
      </c>
      <c r="E5" s="256" t="s">
        <v>2336</v>
      </c>
      <c r="F5" s="256" t="s">
        <v>2337</v>
      </c>
      <c r="G5" s="257"/>
    </row>
    <row r="6" spans="1:9" s="258" customFormat="1" ht="13.5" customHeight="1">
      <c r="A6" s="948" t="s">
        <v>2338</v>
      </c>
      <c r="B6" s="259" t="s">
        <v>2339</v>
      </c>
      <c r="C6" s="260">
        <f ca="1">基准地价修正!E38</f>
        <v>2961</v>
      </c>
      <c r="D6" s="261"/>
      <c r="E6" s="262"/>
      <c r="F6" s="262"/>
      <c r="G6" s="263"/>
    </row>
    <row r="7" spans="1:9" s="258" customFormat="1" ht="13.5" customHeight="1">
      <c r="A7" s="948" t="s">
        <v>2340</v>
      </c>
      <c r="B7" s="259" t="s">
        <v>2341</v>
      </c>
      <c r="C7" s="264">
        <f ca="1">ROUND(C6*F7,0)</f>
        <v>90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52" t="s">
        <v>1071</v>
      </c>
    </row>
    <row r="20" spans="1:7" s="258" customFormat="1" ht="13.5" customHeight="1">
      <c r="A20" s="299" t="s">
        <v>2359</v>
      </c>
      <c r="B20" s="254" t="s">
        <v>2360</v>
      </c>
      <c r="C20" s="276">
        <f ca="1">ROUND((C5+C19)*F20,0)</f>
        <v>96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316</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297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658</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658</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4689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2341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2138</v>
      </c>
      <c r="D34" s="261"/>
      <c r="E34" s="264"/>
      <c r="F34" s="301">
        <f ca="1">IF('数据-取费表'!B24=0,1,IF(B1="",'数据-取费表'!N16,INDIRECT("'数据-取费表'!n"&amp;$G$1)))</f>
        <v>1</v>
      </c>
      <c r="G34" s="263" t="s">
        <v>2392</v>
      </c>
    </row>
    <row r="35" spans="1:7" ht="13.5" customHeight="1">
      <c r="A35" s="950" t="s">
        <v>796</v>
      </c>
      <c r="B35" s="259" t="s">
        <v>2393</v>
      </c>
      <c r="C35" s="264">
        <f ca="1">ROUND(C34*F35,0)</f>
        <v>64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107</v>
      </c>
      <c r="D37" s="261">
        <f ca="1">D19</f>
        <v>7128.3</v>
      </c>
      <c r="E37" s="293">
        <f>'数据-取费表'!B35</f>
        <v>150</v>
      </c>
      <c r="F37" s="303"/>
      <c r="G37" s="305" t="s">
        <v>2398</v>
      </c>
    </row>
    <row r="38" spans="1:7" ht="13.5" customHeight="1">
      <c r="A38" s="950" t="s">
        <v>799</v>
      </c>
      <c r="B38" s="259" t="s">
        <v>2399</v>
      </c>
      <c r="C38" s="264">
        <f ca="1">ROUND(C34*F38,0)</f>
        <v>32</v>
      </c>
      <c r="D38" s="264"/>
      <c r="E38" s="264"/>
      <c r="F38" s="303">
        <f>'数据-取费表'!B36</f>
        <v>1.4999999999999999E-2</v>
      </c>
      <c r="G38" s="263" t="s">
        <v>2394</v>
      </c>
    </row>
    <row r="39" spans="1:7" s="258" customFormat="1" ht="13.5" customHeight="1">
      <c r="A39" s="299" t="s">
        <v>2400</v>
      </c>
      <c r="B39" s="254" t="s">
        <v>2401</v>
      </c>
      <c r="C39" s="276">
        <f ca="1">ROUND(C33*F20,0)</f>
        <v>70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114</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111</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482</v>
      </c>
      <c r="D45" s="279">
        <f ca="1">C47</f>
        <v>6.0000000000000001E-3</v>
      </c>
      <c r="E45" s="280" t="s">
        <v>2405</v>
      </c>
      <c r="F45" s="290"/>
      <c r="G45" s="291" t="s">
        <v>2414</v>
      </c>
    </row>
    <row r="46" spans="1:7" s="258" customFormat="1" ht="13.5" customHeight="1">
      <c r="A46" s="950" t="s">
        <v>791</v>
      </c>
      <c r="B46" s="292" t="s">
        <v>2415</v>
      </c>
      <c r="C46" s="293">
        <f ca="1">ROUND((C33+C39)*F27,0)</f>
        <v>482</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3307</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3033</v>
      </c>
      <c r="D51" s="276"/>
      <c r="E51" s="276"/>
      <c r="F51" s="308"/>
      <c r="G51" s="278" t="s">
        <v>2426</v>
      </c>
    </row>
    <row r="52" spans="1:7" s="252" customFormat="1" ht="16.5" thickBot="1">
      <c r="A52" s="309" t="s">
        <v>2427</v>
      </c>
      <c r="B52" s="310"/>
      <c r="C52" s="311">
        <f ca="1">C31+C51</f>
        <v>7722</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9" sqref="E3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15374.580000000002</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5701</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3708</v>
      </c>
      <c r="C3" s="2723" t="s">
        <v>2820</v>
      </c>
      <c r="D3" s="2724" t="s">
        <v>2821</v>
      </c>
      <c r="E3" s="2729" t="s">
        <v>3115</v>
      </c>
      <c r="F3" s="2730" t="s">
        <v>2822</v>
      </c>
      <c r="G3" s="915">
        <f>IF(F3="宗地容积率",'数据-汇总表'!I4,IF(F3="估价对象容积率",'数据-汇总表'!I6,'数据-汇总表'!I7))</f>
        <v>1.95</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81"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25.5">
      <c r="A8" s="3282"/>
      <c r="B8" s="198" t="s">
        <v>2838</v>
      </c>
      <c r="C8" s="2752" t="s">
        <v>3116</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4" t="s">
        <v>2841</v>
      </c>
      <c r="X8" s="3275"/>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2"/>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6"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6"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81"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6"/>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76"/>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83"/>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4"/>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1" t="s">
        <v>2884</v>
      </c>
      <c r="B16" s="2747" t="s">
        <v>2885</v>
      </c>
      <c r="C16" s="2937">
        <f>ROUND(IF(F17="与级别开发程度一致",0,(G17-E17)/C17),0)</f>
        <v>-36</v>
      </c>
      <c r="D16" s="3295" t="s">
        <v>2889</v>
      </c>
      <c r="E16" s="3296"/>
      <c r="F16" s="3295" t="s">
        <v>2886</v>
      </c>
      <c r="G16" s="3296"/>
      <c r="H16" s="2781" t="s">
        <v>3118</v>
      </c>
      <c r="I16" s="2781" t="s">
        <v>3119</v>
      </c>
      <c r="J16" s="2941" t="s">
        <v>3120</v>
      </c>
      <c r="K16" s="2781" t="s">
        <v>3121</v>
      </c>
      <c r="L16" s="2781" t="s">
        <v>3124</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5"/>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3117</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1.0817000000000001</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1.0817000000000001</v>
      </c>
      <c r="E22" s="915">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5701</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1426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16084</v>
      </c>
      <c r="D29" s="2839"/>
      <c r="E29" s="941">
        <f ca="1">ROUND(C29*D29/10000,0)</f>
        <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4021</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2"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4"/>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4154</v>
      </c>
      <c r="D38" s="2839">
        <f>'数据-汇总表'!G20</f>
        <v>7128.3</v>
      </c>
      <c r="E38" s="200">
        <f t="shared" ca="1" si="7"/>
        <v>2961</v>
      </c>
      <c r="F38" s="206">
        <f>SUMIF(修正!A45:A56,G2,修正!G45:G56)</f>
        <v>0.25</v>
      </c>
      <c r="G38" s="200">
        <f ca="1">ROUND(IF(E2="工业",C38*$M$39,C38*$M$38),0)</f>
        <v>1039</v>
      </c>
      <c r="H38" s="200">
        <f t="shared" si="8"/>
        <v>7128.3</v>
      </c>
      <c r="I38" s="200">
        <f t="shared" ca="1" si="9"/>
        <v>741</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3323</v>
      </c>
      <c r="D39" s="2845">
        <f>'数据-汇总表'!G21</f>
        <v>8246.2800000000007</v>
      </c>
      <c r="E39" s="229">
        <f t="shared" ca="1" si="7"/>
        <v>2740</v>
      </c>
      <c r="F39" s="931">
        <f>SUMIF(修正!A45:A56,G2,修正!H45:H56)</f>
        <v>0.2</v>
      </c>
      <c r="G39" s="229">
        <f ca="1">ROUND(IF(E2="工业",C39*$M$39,C39*$M$38),0)</f>
        <v>831</v>
      </c>
      <c r="H39" s="229">
        <f t="shared" si="8"/>
        <v>8246.2800000000007</v>
      </c>
      <c r="I39" s="229">
        <f t="shared" ca="1" si="9"/>
        <v>685</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v>
      </c>
      <c r="D41" s="200" t="s">
        <v>2890</v>
      </c>
      <c r="E41" s="2931">
        <f ca="1">G20</f>
        <v>5.1999999999999998E-2</v>
      </c>
      <c r="F41" s="200" t="s">
        <v>2900</v>
      </c>
      <c r="G41" s="218">
        <f>项目基本情况!G15</f>
        <v>42.12</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3077</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3077</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3077</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3077</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3127</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3077</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3077</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3077</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3077</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6" t="s">
        <v>2973</v>
      </c>
      <c r="B90" s="3286"/>
      <c r="C90" s="3286"/>
      <c r="D90" s="3286"/>
      <c r="E90" s="3286"/>
      <c r="F90" s="3286"/>
      <c r="G90" s="3286"/>
      <c r="H90" s="3286"/>
      <c r="I90" s="3286"/>
      <c r="J90" s="3286"/>
      <c r="K90" s="2886"/>
      <c r="L90" s="2886"/>
      <c r="M90" s="2886"/>
      <c r="N90" s="2886"/>
    </row>
    <row r="91" spans="1:37">
      <c r="A91" s="3288" t="s">
        <v>2974</v>
      </c>
      <c r="B91" s="3288" t="s">
        <v>2975</v>
      </c>
      <c r="C91" s="2840" t="s">
        <v>2976</v>
      </c>
      <c r="D91" s="2841"/>
      <c r="E91" s="2841"/>
      <c r="F91" s="2841"/>
      <c r="G91" s="2841"/>
      <c r="H91" s="2841"/>
      <c r="I91" s="2841"/>
      <c r="J91" s="2887"/>
      <c r="K91" s="2888"/>
      <c r="L91" s="2888"/>
      <c r="M91" s="2888"/>
      <c r="N91" s="2888"/>
    </row>
    <row r="92" spans="1:37">
      <c r="A92" s="3288"/>
      <c r="B92" s="3288"/>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8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0"/>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9" t="s">
        <v>2978</v>
      </c>
      <c r="B101" s="2893" t="s">
        <v>2979</v>
      </c>
      <c r="C101" s="2894">
        <f>$G$3</f>
        <v>1.95</v>
      </c>
      <c r="D101" s="2894">
        <f t="shared" ref="D101:N101" si="31">$G$3</f>
        <v>1.95</v>
      </c>
      <c r="E101" s="2894">
        <f t="shared" si="31"/>
        <v>1.95</v>
      </c>
      <c r="F101" s="2894">
        <f t="shared" si="31"/>
        <v>1.95</v>
      </c>
      <c r="G101" s="2894">
        <f t="shared" si="31"/>
        <v>1.95</v>
      </c>
      <c r="H101" s="2894">
        <f t="shared" si="31"/>
        <v>1.95</v>
      </c>
      <c r="I101" s="2894">
        <f t="shared" si="31"/>
        <v>1.95</v>
      </c>
      <c r="J101" s="2894">
        <f t="shared" si="31"/>
        <v>1.95</v>
      </c>
      <c r="K101" s="2894">
        <f t="shared" si="31"/>
        <v>1.95</v>
      </c>
      <c r="L101" s="2894">
        <f t="shared" si="31"/>
        <v>1.95</v>
      </c>
      <c r="M101" s="2894">
        <f t="shared" si="31"/>
        <v>1.95</v>
      </c>
      <c r="N101" s="2894">
        <f t="shared" si="31"/>
        <v>1.95</v>
      </c>
    </row>
    <row r="102" spans="1:14">
      <c r="A102" s="3290"/>
      <c r="B102" s="2889">
        <v>1</v>
      </c>
      <c r="C102" s="2890">
        <f>1.9362/C101</f>
        <v>0.99292307692307691</v>
      </c>
      <c r="D102" s="2890">
        <f>1.9362/D101</f>
        <v>0.99292307692307691</v>
      </c>
      <c r="E102" s="2890">
        <f>1.8629/E101</f>
        <v>0.95533333333333337</v>
      </c>
      <c r="F102" s="2890">
        <f>1.8629/F101</f>
        <v>0.95533333333333337</v>
      </c>
      <c r="G102" s="2890">
        <f>1.8629/G101</f>
        <v>0.95533333333333337</v>
      </c>
      <c r="H102" s="2890">
        <f>1.8629/H101</f>
        <v>0.95533333333333337</v>
      </c>
      <c r="I102" s="2890">
        <f>1.8629/I101</f>
        <v>0.95533333333333337</v>
      </c>
      <c r="J102" s="2890">
        <f>1.942/J101</f>
        <v>0.99589743589743585</v>
      </c>
      <c r="K102" s="2890">
        <f>1.942/K101</f>
        <v>0.99589743589743585</v>
      </c>
      <c r="L102" s="2890">
        <f>1.942/L101</f>
        <v>0.99589743589743585</v>
      </c>
      <c r="M102" s="2890">
        <f>1.942/M101</f>
        <v>0.99589743589743585</v>
      </c>
      <c r="N102" s="2890">
        <f>1.942/N101</f>
        <v>0.99589743589743585</v>
      </c>
    </row>
    <row r="103" spans="1:14">
      <c r="A103" s="3290"/>
      <c r="B103" s="2889">
        <v>2</v>
      </c>
      <c r="C103" s="2890">
        <f>1.4198/C101</f>
        <v>0.72810256410256413</v>
      </c>
      <c r="D103" s="2890">
        <f>1.4198/D101</f>
        <v>0.72810256410256413</v>
      </c>
      <c r="E103" s="2890">
        <f>1.3372/E101</f>
        <v>0.68574358974358973</v>
      </c>
      <c r="F103" s="2890">
        <f>1.3372/F101</f>
        <v>0.68574358974358973</v>
      </c>
      <c r="G103" s="2890">
        <f>1.3372/G101</f>
        <v>0.68574358974358973</v>
      </c>
      <c r="H103" s="2890">
        <f>1.3372/H101</f>
        <v>0.68574358974358973</v>
      </c>
      <c r="I103" s="2890">
        <f>1.3372/I101</f>
        <v>0.68574358974358973</v>
      </c>
      <c r="J103" s="2890">
        <f>1.2799/J101</f>
        <v>0.65635897435897439</v>
      </c>
      <c r="K103" s="2890">
        <f>1.2799/K101</f>
        <v>0.65635897435897439</v>
      </c>
      <c r="L103" s="2890">
        <f>1.2799/L101</f>
        <v>0.65635897435897439</v>
      </c>
      <c r="M103" s="2890">
        <f>1.2799/M101</f>
        <v>0.65635897435897439</v>
      </c>
      <c r="N103" s="2890">
        <f>1.2799/N101</f>
        <v>0.65635897435897439</v>
      </c>
    </row>
    <row r="104" spans="1:14">
      <c r="A104" s="3290"/>
      <c r="B104" s="2889">
        <v>3</v>
      </c>
      <c r="C104" s="2890">
        <f>1.1594/C101</f>
        <v>0.59456410256410253</v>
      </c>
      <c r="D104" s="2890">
        <f>1.1594/D101</f>
        <v>0.59456410256410253</v>
      </c>
      <c r="E104" s="2890">
        <f>1.0788/E101</f>
        <v>0.55323076923076919</v>
      </c>
      <c r="F104" s="2890">
        <f>1.0788/F101</f>
        <v>0.55323076923076919</v>
      </c>
      <c r="G104" s="2890">
        <f>1.0788/G101</f>
        <v>0.55323076923076919</v>
      </c>
      <c r="H104" s="2890">
        <f>1.0788/H101</f>
        <v>0.55323076923076919</v>
      </c>
      <c r="I104" s="2890">
        <f>1.0788/I101</f>
        <v>0.55323076923076919</v>
      </c>
      <c r="J104" s="2890">
        <f>1.0072/J101</f>
        <v>0.51651282051282055</v>
      </c>
      <c r="K104" s="2890">
        <f>1.0072/K101</f>
        <v>0.51651282051282055</v>
      </c>
      <c r="L104" s="2890">
        <f>1.0072/L101</f>
        <v>0.51651282051282055</v>
      </c>
      <c r="M104" s="2890">
        <f>1.0072/M101</f>
        <v>0.51651282051282055</v>
      </c>
      <c r="N104" s="2890">
        <f>1.0072/N101</f>
        <v>0.51651282051282055</v>
      </c>
    </row>
    <row r="105" spans="1:14">
      <c r="A105" s="3290"/>
      <c r="B105" s="2889">
        <v>4</v>
      </c>
      <c r="C105" s="2890">
        <f>0.9622/C101</f>
        <v>0.4934358974358975</v>
      </c>
      <c r="D105" s="2890">
        <f>0.9622/D101</f>
        <v>0.4934358974358975</v>
      </c>
      <c r="E105" s="2890">
        <f>0.8656/E101</f>
        <v>0.44389743589743591</v>
      </c>
      <c r="F105" s="2890">
        <f>0.8656/F101</f>
        <v>0.44389743589743591</v>
      </c>
      <c r="G105" s="2890">
        <f>0.8656/G101</f>
        <v>0.44389743589743591</v>
      </c>
      <c r="H105" s="2890">
        <f>0.8656/H101</f>
        <v>0.44389743589743591</v>
      </c>
      <c r="I105" s="2890">
        <f>0.8656/I101</f>
        <v>0.44389743589743591</v>
      </c>
      <c r="J105" s="2890">
        <f>0.7525/J101</f>
        <v>0.38589743589743586</v>
      </c>
      <c r="K105" s="2890">
        <f>0.7525/K101</f>
        <v>0.38589743589743586</v>
      </c>
      <c r="L105" s="2890">
        <f>0.7525/L101</f>
        <v>0.38589743589743586</v>
      </c>
      <c r="M105" s="2890">
        <f>0.7525/M101</f>
        <v>0.38589743589743586</v>
      </c>
      <c r="N105" s="2890">
        <f>0.7525/N101</f>
        <v>0.38589743589743586</v>
      </c>
    </row>
    <row r="106" spans="1:14">
      <c r="A106" s="3290"/>
      <c r="B106" s="2889">
        <v>5</v>
      </c>
      <c r="C106" s="2890">
        <f>0.8417/C101</f>
        <v>0.43164102564102563</v>
      </c>
      <c r="D106" s="2890">
        <f>0.8417/D101</f>
        <v>0.43164102564102563</v>
      </c>
      <c r="E106" s="2890">
        <f>0.7371/E101</f>
        <v>0.378</v>
      </c>
      <c r="F106" s="2890">
        <f>0.7371/F101</f>
        <v>0.378</v>
      </c>
      <c r="G106" s="2890">
        <f>0.7371/G101</f>
        <v>0.378</v>
      </c>
      <c r="H106" s="2890">
        <f>0.7371/H101</f>
        <v>0.378</v>
      </c>
      <c r="I106" s="2890">
        <f>0.7371/I101</f>
        <v>0.378</v>
      </c>
      <c r="J106" s="2890">
        <f>0.5659/J101</f>
        <v>0.29020512820512817</v>
      </c>
      <c r="K106" s="2890">
        <f>0.5659/K101</f>
        <v>0.29020512820512817</v>
      </c>
      <c r="L106" s="2890">
        <f>0.5659/L101</f>
        <v>0.29020512820512817</v>
      </c>
      <c r="M106" s="2890">
        <f>0.5659/M101</f>
        <v>0.29020512820512817</v>
      </c>
      <c r="N106" s="2890">
        <f>0.5659/N101</f>
        <v>0.29020512820512817</v>
      </c>
    </row>
    <row r="107" spans="1:14">
      <c r="A107" s="3290"/>
      <c r="B107" s="2889">
        <v>6</v>
      </c>
      <c r="C107" s="2890">
        <f>0.7608/C101</f>
        <v>0.39015384615384618</v>
      </c>
      <c r="D107" s="2890">
        <f>0.7608/D101</f>
        <v>0.39015384615384618</v>
      </c>
      <c r="E107" s="2890">
        <f>0.6482/E101</f>
        <v>0.3324102564102564</v>
      </c>
      <c r="F107" s="2890">
        <f>0.6482/F101</f>
        <v>0.3324102564102564</v>
      </c>
      <c r="G107" s="2890">
        <f>0.6482/G101</f>
        <v>0.3324102564102564</v>
      </c>
      <c r="H107" s="2890">
        <f>0.6482/H101</f>
        <v>0.3324102564102564</v>
      </c>
      <c r="I107" s="2890">
        <f>0.6482/I101</f>
        <v>0.3324102564102564</v>
      </c>
      <c r="J107" s="2890">
        <f>0.4525/J101</f>
        <v>0.23205128205128206</v>
      </c>
      <c r="K107" s="2890">
        <f>0.4525/K101</f>
        <v>0.23205128205128206</v>
      </c>
      <c r="L107" s="2890">
        <f>0.4525/L101</f>
        <v>0.23205128205128206</v>
      </c>
      <c r="M107" s="2890">
        <f>0.4525/M101</f>
        <v>0.23205128205128206</v>
      </c>
      <c r="N107" s="2890">
        <f>0.4525/N101</f>
        <v>0.23205128205128206</v>
      </c>
    </row>
    <row r="108" spans="1:14">
      <c r="A108" s="3290"/>
      <c r="B108" s="314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1"/>
      <c r="B109" s="3142"/>
      <c r="C109" s="2892">
        <f>(-0.163*(C108^2)-0.59*C108+7617)*(10^(-4))/C101</f>
        <v>0.39061538461538464</v>
      </c>
      <c r="D109" s="2892">
        <f>(-0.163*(D108^2)-0.59*D108+7617)*(10^(-4))/D101</f>
        <v>0.39061538461538464</v>
      </c>
      <c r="E109" s="2892">
        <f>(-0.161*(E108^2)-7.509*E108+6533)*(10^(-4))/E101</f>
        <v>0.33502564102564103</v>
      </c>
      <c r="F109" s="2892">
        <f>(-0.161*(F108^2)-7.509*F108+6533)*(10^(-4))/F101</f>
        <v>0.33502564102564103</v>
      </c>
      <c r="G109" s="2892">
        <f>(-0.161*(G108^2)-7.509*G108+6533)*(10^(-4))/G101</f>
        <v>0.33502564102564103</v>
      </c>
      <c r="H109" s="2892">
        <f>(-0.161*(H108^2)-7.509*H108+6533)*(10^(-4))/H101</f>
        <v>0.33502564102564103</v>
      </c>
      <c r="I109" s="2892">
        <f>(-0.161*(I108^2)-7.509*I108+6533)*(10^(-4))/I101</f>
        <v>0.33502564102564103</v>
      </c>
      <c r="J109" s="2892">
        <f>(-0.214*(J108^2)-21.991*J108+4665)*(10^(-4))/J101</f>
        <v>0.23923076923076925</v>
      </c>
      <c r="K109" s="2892">
        <f>(-0.214*(K108^2)-21.991*K108+4665)*(10^(-4))/K101</f>
        <v>0.23923076923076925</v>
      </c>
      <c r="L109" s="2892">
        <f>(-0.214*(L108^2)-21.991*L108+4665)*(10^(-4))/L101</f>
        <v>0.23923076923076925</v>
      </c>
      <c r="M109" s="2892">
        <f>(-0.214*(M108^2)-21.991*M108+4665)*(10^(-4))/M101</f>
        <v>0.23923076923076925</v>
      </c>
      <c r="N109" s="2892">
        <f>(-0.214*(N108^2)-21.991*N108+4665)*(10^(-4))/N101</f>
        <v>0.23923076923076925</v>
      </c>
    </row>
    <row r="110" spans="1:14">
      <c r="A110" s="3287" t="s">
        <v>2981</v>
      </c>
      <c r="B110" s="3287"/>
      <c r="C110" s="3287"/>
      <c r="D110" s="3287"/>
      <c r="E110" s="3287"/>
      <c r="F110" s="3287"/>
      <c r="G110" s="3287"/>
      <c r="H110" s="3287"/>
      <c r="I110" s="3287"/>
      <c r="J110" s="3287"/>
      <c r="K110" s="2895"/>
      <c r="L110" s="2895"/>
      <c r="M110" s="2895"/>
      <c r="N110" s="2895"/>
    </row>
    <row r="112" spans="1:14" ht="13.5" thickBot="1"/>
    <row r="113" spans="1:13" ht="25.5" thickBot="1">
      <c r="A113" s="902" t="s">
        <v>2982</v>
      </c>
      <c r="B113" s="1286">
        <f>G3</f>
        <v>1.95</v>
      </c>
      <c r="C113" s="903" t="s">
        <v>2983</v>
      </c>
      <c r="D113" s="904">
        <f>SUMPRODUCT((A115:A118=F113)*(B114:M114=H113)*B115:M118)</f>
        <v>0.83140000000000003</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2881</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2882</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5" thickBot="1">
      <c r="A118" s="714" t="s">
        <v>2883</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26061</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36560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1172</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1171</v>
      </c>
      <c r="D6" s="164" t="s">
        <v>3032</v>
      </c>
      <c r="E6" s="347" t="s">
        <v>1401</v>
      </c>
      <c r="F6" s="348">
        <f ca="1">INDIRECT("'数据-取费表'!u"&amp;$G$1)</f>
        <v>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7128.3</v>
      </c>
      <c r="G7" s="1850"/>
      <c r="H7" s="349"/>
      <c r="I7" s="3230"/>
      <c r="J7" s="351"/>
      <c r="K7" s="352"/>
      <c r="L7" s="347" t="s">
        <v>1402</v>
      </c>
      <c r="M7" s="348">
        <f ca="1">F7</f>
        <v>7128.3</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3032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2138</v>
      </c>
      <c r="D14" s="2968" t="s">
        <v>1414</v>
      </c>
      <c r="E14" s="2967"/>
      <c r="F14" s="364"/>
      <c r="G14" s="1850"/>
      <c r="H14" s="1200" t="s">
        <v>1032</v>
      </c>
      <c r="I14" s="347" t="s">
        <v>1415</v>
      </c>
      <c r="J14" s="24">
        <f ca="1">C29</f>
        <v>3307</v>
      </c>
      <c r="K14" s="2958"/>
      <c r="L14" s="978"/>
      <c r="M14" s="979"/>
    </row>
    <row r="15" spans="1:37" s="1857" customFormat="1" ht="18" customHeight="1" thickBot="1">
      <c r="A15" s="1200" t="s">
        <v>1033</v>
      </c>
      <c r="B15" s="347" t="s">
        <v>1416</v>
      </c>
      <c r="C15" s="24">
        <f ca="1">ROUND(C14*F15,0)</f>
        <v>64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80</v>
      </c>
      <c r="K16" s="1336" t="s">
        <v>1421</v>
      </c>
      <c r="L16" s="2971"/>
      <c r="M16" s="1293"/>
    </row>
    <row r="17" spans="1:37" s="1857" customFormat="1" ht="18" customHeight="1">
      <c r="A17" s="1200" t="s">
        <v>1386</v>
      </c>
      <c r="B17" s="347" t="s">
        <v>1422</v>
      </c>
      <c r="C17" s="24">
        <f ca="1">ROUND(F17*(F43+INDIRECT("'数据-取费表'!S"&amp;$G$1))/10000,0)</f>
        <v>107</v>
      </c>
      <c r="D17" s="347" t="s">
        <v>1423</v>
      </c>
      <c r="E17" s="347" t="s">
        <v>1424</v>
      </c>
      <c r="F17" s="26">
        <f>'数据-取费表'!B35</f>
        <v>150</v>
      </c>
      <c r="G17" s="1853"/>
      <c r="H17" s="1200" t="s">
        <v>1032</v>
      </c>
      <c r="I17" s="347" t="s">
        <v>1425</v>
      </c>
      <c r="J17" s="24">
        <f ca="1">ROUND(IF(项目基本情况!B11="自然人",J5*M17,J18+J19+J20),1)</f>
        <v>30.5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2341</v>
      </c>
      <c r="D19" s="140" t="s">
        <v>1432</v>
      </c>
      <c r="E19" s="2956"/>
      <c r="F19" s="26"/>
      <c r="G19" s="1850"/>
      <c r="H19" s="1200" t="s">
        <v>1033</v>
      </c>
      <c r="I19" s="347" t="s">
        <v>1433</v>
      </c>
      <c r="J19" s="24">
        <f ca="1">IF(K19="按租金收入计税",ROUND(J5*M19,2),ROUND(C29*M19*0.7,2))</f>
        <v>27.78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70</v>
      </c>
      <c r="D20" s="369" t="s">
        <v>1436</v>
      </c>
      <c r="E20" s="347" t="s">
        <v>1418</v>
      </c>
      <c r="F20" s="367">
        <f>'数据-取费表'!B37</f>
        <v>0.03</v>
      </c>
      <c r="G20" s="1853"/>
      <c r="H20" s="1200" t="s">
        <v>1385</v>
      </c>
      <c r="I20" s="164" t="s">
        <v>1437</v>
      </c>
      <c r="J20" s="25">
        <f ca="1">ROUND(M20*M21/10000,2)</f>
        <v>2.76</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49.6</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114</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-80</v>
      </c>
      <c r="K25" s="1344" t="s">
        <v>1460</v>
      </c>
      <c r="L25" s="1345"/>
      <c r="M25" s="1346"/>
    </row>
    <row r="26" spans="1:37">
      <c r="A26" s="1200" t="s">
        <v>1031</v>
      </c>
      <c r="B26" s="347" t="s">
        <v>1461</v>
      </c>
      <c r="C26" s="24">
        <f ca="1">ROUND((C19+C20)*F26,0)</f>
        <v>482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3307</v>
      </c>
      <c r="D29" s="1341"/>
      <c r="E29" s="1339"/>
      <c r="F29" s="1342"/>
      <c r="G29" s="1853"/>
      <c r="H29" s="380" t="s">
        <v>1030</v>
      </c>
      <c r="I29" s="381" t="s">
        <v>1475</v>
      </c>
      <c r="J29" s="382">
        <f ca="1">ROUND(J26/(1+F40)^F41,0)</f>
        <v>0</v>
      </c>
      <c r="K29" s="383" t="s">
        <v>1476</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278</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205.9</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62.51</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140.63999999999999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2.76</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2298.59</v>
      </c>
      <c r="G35" s="1850"/>
      <c r="H35" s="745"/>
      <c r="I35" s="1859"/>
      <c r="J35" s="1860"/>
      <c r="K35" s="1861"/>
      <c r="L35" s="1858"/>
      <c r="M35" s="1858"/>
    </row>
    <row r="36" spans="1:18" ht="18" customHeight="1">
      <c r="A36" s="1351" t="s">
        <v>1036</v>
      </c>
      <c r="B36" s="347" t="s">
        <v>1445</v>
      </c>
      <c r="C36" s="24">
        <f ca="1">ROUND(C29*F36,1)</f>
        <v>49.6</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4.5</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17.600000000000001</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894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24738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34704</v>
      </c>
      <c r="D43" s="383" t="s">
        <v>1484</v>
      </c>
      <c r="E43" s="384" t="s">
        <v>1485</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-30190</v>
      </c>
      <c r="D46" s="1871" t="str">
        <f>C2</f>
        <v>万元</v>
      </c>
      <c r="E46" s="1865"/>
      <c r="F46" s="1865"/>
      <c r="I46" s="1872" t="s">
        <v>1517</v>
      </c>
      <c r="J46" s="1873"/>
      <c r="K46" s="1874"/>
      <c r="L46" s="1875">
        <f ca="1">IF(M47="住宅",0,IF(L48&gt;J51,L60,J60))</f>
        <v>1323</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24738</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1323</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3307</v>
      </c>
      <c r="R49" s="1885" t="s">
        <v>1525</v>
      </c>
    </row>
    <row r="50" spans="1:18" s="1841" customFormat="1" ht="13.5" thickBot="1">
      <c r="A50" s="1194"/>
      <c r="B50" s="1197"/>
      <c r="C50" s="1367"/>
      <c r="D50" s="1171"/>
      <c r="E50" s="1276" t="s">
        <v>1402</v>
      </c>
      <c r="F50" s="1277">
        <f ca="1">F7</f>
        <v>7128.3</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10533</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26061</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3032</v>
      </c>
      <c r="D56" s="1913"/>
      <c r="E56" s="1914"/>
      <c r="F56" s="1906"/>
      <c r="I56" s="1915" t="s">
        <v>1550</v>
      </c>
      <c r="J56" s="1916" t="s">
        <v>3126</v>
      </c>
      <c r="K56" s="1886" t="s">
        <v>1551</v>
      </c>
      <c r="L56" s="1889" t="str">
        <f ca="1">IF(L48&lt;J51,"——",L48-J53)</f>
        <v>——</v>
      </c>
      <c r="O56" s="1883" t="s">
        <v>1037</v>
      </c>
      <c r="P56" s="1884" t="s">
        <v>1524</v>
      </c>
      <c r="Q56" s="1885">
        <f ca="1">C40+J29</f>
        <v>24738</v>
      </c>
      <c r="R56" s="1885" t="s">
        <v>1525</v>
      </c>
    </row>
    <row r="57" spans="1:18" s="1841" customFormat="1" ht="24.75" thickBot="1">
      <c r="A57" s="1917"/>
      <c r="B57" s="1168" t="s">
        <v>1474</v>
      </c>
      <c r="C57" s="282">
        <f ca="1">C29</f>
        <v>3307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335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280.60000000000002</v>
      </c>
      <c r="D59" s="1181" t="s">
        <v>1426</v>
      </c>
      <c r="E59" s="1182" t="s">
        <v>1427</v>
      </c>
      <c r="F59" s="368" t="str">
        <f ca="1">IF(项目基本情况!B11="企业","",IF(INDIRECT("'数据-取费表'!c"&amp;$G$1)="住宅",5%,IF(F49*F50*F51/12/(1+'数据-取费表'!C42)&gt;20000,12%,7%)))</f>
        <v/>
      </c>
      <c r="I59" s="1921" t="s">
        <v>1559</v>
      </c>
      <c r="J59" s="1922">
        <f ca="1">IF(OR(M47="住宅",J51&lt;L48,J56="是"),"——",ROUND(C29*J58,0))</f>
        <v>1323</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1323</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277.79000000000002</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2.76</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24738</v>
      </c>
      <c r="R62" s="1885" t="s">
        <v>1044</v>
      </c>
    </row>
    <row r="63" spans="1:18" s="1841" customFormat="1" ht="13.5" thickBot="1">
      <c r="A63" s="372"/>
      <c r="B63" s="1174"/>
      <c r="C63" s="29"/>
      <c r="D63" s="1184"/>
      <c r="E63" s="1168" t="s">
        <v>1495</v>
      </c>
      <c r="F63" s="348">
        <f t="shared" ca="1" si="0"/>
        <v>2298.59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49.6</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4.5</v>
      </c>
      <c r="D65" s="1182" t="s">
        <v>1450</v>
      </c>
      <c r="E65" s="1168" t="s">
        <v>1451</v>
      </c>
      <c r="F65" s="376">
        <f t="shared" ca="1" si="0"/>
        <v>1.5E-3</v>
      </c>
      <c r="I65" s="1928" t="s">
        <v>1575</v>
      </c>
      <c r="J65" s="1929">
        <v>40</v>
      </c>
      <c r="K65" s="1929">
        <v>30</v>
      </c>
      <c r="L65" s="1929">
        <v>50</v>
      </c>
      <c r="M65" s="1931">
        <v>0.02</v>
      </c>
      <c r="O65" s="1883" t="s">
        <v>1037</v>
      </c>
      <c r="P65" s="1884" t="s">
        <v>1576</v>
      </c>
      <c r="Q65" s="1885">
        <f ca="1">C40+J29</f>
        <v>24738</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-335</v>
      </c>
      <c r="D67" s="1181" t="s">
        <v>1460</v>
      </c>
      <c r="E67" s="1186"/>
      <c r="F67" s="1187"/>
      <c r="O67" s="1893" t="s">
        <v>1039</v>
      </c>
      <c r="P67" s="1884" t="s">
        <v>1558</v>
      </c>
      <c r="Q67" s="1932">
        <f ca="1">L51</f>
        <v>10533</v>
      </c>
      <c r="R67" s="1885" t="s">
        <v>1578</v>
      </c>
    </row>
    <row r="68" spans="1:18" s="1841" customFormat="1" ht="16.5" thickBot="1">
      <c r="A68" s="1165" t="s">
        <v>1029</v>
      </c>
      <c r="B68" s="1166" t="s">
        <v>1481</v>
      </c>
      <c r="C68" s="346">
        <f ca="1">ROUND(C67*(1-((1+F70)/(1+F68))^F69)/(F68-F70),0)</f>
        <v>-5452</v>
      </c>
      <c r="D68" s="1183" t="s">
        <v>1465</v>
      </c>
      <c r="E68" s="1168" t="s">
        <v>1466</v>
      </c>
      <c r="F68" s="357">
        <f ca="1">F40</f>
        <v>5.5E-2</v>
      </c>
      <c r="O68" s="1893" t="s">
        <v>1040</v>
      </c>
      <c r="P68" s="1933" t="s">
        <v>1579</v>
      </c>
      <c r="Q68" s="1885">
        <f ca="1">ROUND(Q69-Q70*Q71,0)</f>
        <v>621</v>
      </c>
      <c r="R68" s="1885" t="s">
        <v>1048</v>
      </c>
    </row>
    <row r="69" spans="1:18" s="1841" customFormat="1" ht="13.5" thickBot="1">
      <c r="A69" s="1169"/>
      <c r="B69" s="1170"/>
      <c r="C69" s="351"/>
      <c r="D69" s="1188" t="s">
        <v>1469</v>
      </c>
      <c r="E69" s="1168" t="s">
        <v>1470</v>
      </c>
      <c r="F69" s="379">
        <f ca="1">F41</f>
        <v>42.12</v>
      </c>
      <c r="O69" s="1893" t="s">
        <v>1045</v>
      </c>
      <c r="P69" s="1933" t="s">
        <v>1580</v>
      </c>
      <c r="Q69" s="1885">
        <f ca="1">C39</f>
        <v>894</v>
      </c>
      <c r="R69" s="1885" t="s">
        <v>1525</v>
      </c>
    </row>
    <row r="70" spans="1:18" s="1841" customFormat="1" ht="13.5" thickBot="1">
      <c r="A70" s="1172"/>
      <c r="B70" s="1173"/>
      <c r="C70" s="355"/>
      <c r="D70" s="1184"/>
      <c r="E70" s="1168" t="s">
        <v>1473</v>
      </c>
      <c r="F70" s="1274"/>
      <c r="O70" s="1893" t="s">
        <v>1046</v>
      </c>
      <c r="P70" s="1933" t="s">
        <v>1581</v>
      </c>
      <c r="Q70" s="1885">
        <f ca="1">C13</f>
        <v>3032</v>
      </c>
      <c r="R70" s="1885" t="s">
        <v>1525</v>
      </c>
    </row>
    <row r="71" spans="1:18" s="1841" customFormat="1" ht="13.5" thickBot="1">
      <c r="A71" s="1189" t="s">
        <v>1030</v>
      </c>
      <c r="B71" s="1190" t="s">
        <v>1483</v>
      </c>
      <c r="C71" s="382">
        <f ca="1">ROUND(C68*10000/F71,0)</f>
        <v>-7648</v>
      </c>
      <c r="D71" s="1191" t="s">
        <v>1484</v>
      </c>
      <c r="E71" s="1192" t="s">
        <v>1485</v>
      </c>
      <c r="F71" s="385">
        <f ca="1">F43</f>
        <v>7128.3</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273</v>
      </c>
      <c r="D75" s="1841"/>
      <c r="E75" s="1841"/>
      <c r="F75" s="1841"/>
      <c r="K75" s="1867"/>
      <c r="L75" s="1841"/>
      <c r="O75" s="1883" t="s">
        <v>1043</v>
      </c>
      <c r="P75" s="1884" t="s">
        <v>1545</v>
      </c>
      <c r="Q75" s="1885">
        <f ca="1">Q65+Q66</f>
        <v>24738</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0.69500000000000006</v>
      </c>
    </row>
    <row r="80" spans="1:18">
      <c r="B80" s="386" t="s">
        <v>1507</v>
      </c>
      <c r="C80" s="318">
        <f ca="1">ROUND(C75/C39,3)</f>
        <v>0.30499999999999999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3128</v>
      </c>
      <c r="D4" s="2427" t="s">
        <v>3129</v>
      </c>
      <c r="E4" s="3105" t="s">
        <v>2123</v>
      </c>
      <c r="F4" s="3106"/>
      <c r="G4" s="3106"/>
      <c r="H4" s="3106"/>
      <c r="I4" s="3114"/>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8246.2800000000007</v>
      </c>
      <c r="M18" s="2428">
        <f>IF(C1="",'数据-汇总表'!E3,SUMIF(项目类型,C1,'数据-汇总表'!E17:E26))</f>
        <v>8246.2800000000007</v>
      </c>
    </row>
    <row r="19" spans="1:35" ht="15">
      <c r="A19" s="2434" t="s">
        <v>2146</v>
      </c>
      <c r="B19" s="2435" t="s">
        <v>2147</v>
      </c>
      <c r="C19" s="143">
        <f ca="1">SUMIF(INDIRECT("'"&amp;C4&amp;"'"&amp;"!A:A"),'结果表-车库'!B19,INDIRECT("'"&amp;C4&amp;"'"&amp;"!B:B"))</f>
        <v>7041</v>
      </c>
      <c r="D19" s="144">
        <f ca="1">SUMIF(INDIRECT("'"&amp;D4&amp;"'"&amp;"!A:A"),'结果表-车库'!B19,INDIRECT("'"&amp;D4&amp;"'"&amp;"!B:B"))</f>
        <v>6956</v>
      </c>
      <c r="E19" s="2434" t="s">
        <v>2148</v>
      </c>
      <c r="F19" s="2435" t="s">
        <v>2147</v>
      </c>
      <c r="G19" s="145">
        <f ca="1">ROUND(C19*$C$18+D19*$D$18,0)</f>
        <v>6999</v>
      </c>
      <c r="H19" s="2436" t="s">
        <v>2149</v>
      </c>
      <c r="I19" s="138"/>
      <c r="K19" s="2428" t="s">
        <v>2150</v>
      </c>
      <c r="L19" s="2428">
        <f>IF(C1="",'数据-汇总表'!D3,SUMIF(项目类型,C1,'数据-汇总表'!D17:D26)+SUMIF(项目类型,C1,'数据-汇总表'!H17:H27))</f>
        <v>2659.1</v>
      </c>
      <c r="M19" s="2428">
        <f>IF(C1="",'数据-汇总表'!D3,SUMIF(项目类型,C1,'数据-汇总表'!D17:D26))</f>
        <v>2659.1</v>
      </c>
    </row>
    <row r="20" spans="1:35" ht="15">
      <c r="A20" s="2437"/>
      <c r="B20" s="1246" t="s">
        <v>2151</v>
      </c>
      <c r="C20" s="146">
        <f ca="1">SUMIF(INDIRECT("'"&amp;C4&amp;"'"&amp;"!A:A"),'结果表-车库'!B20,INDIRECT("'"&amp;C4&amp;"'"&amp;"!B:B"))</f>
        <v>8538</v>
      </c>
      <c r="D20" s="147">
        <f ca="1">SUMIF(INDIRECT("'"&amp;D4&amp;"'"&amp;"!A:A"),'结果表-车库'!B20,INDIRECT("'"&amp;D4&amp;"'"&amp;"!B:B"))</f>
        <v>8435</v>
      </c>
      <c r="E20" s="2437"/>
      <c r="F20" s="1246" t="s">
        <v>2151</v>
      </c>
      <c r="G20" s="148">
        <f ca="1">ROUND(C20*$C$18+D20*$D$18,0)</f>
        <v>8487</v>
      </c>
      <c r="H20" s="979" t="s">
        <v>2152</v>
      </c>
      <c r="I20" s="138"/>
    </row>
    <row r="21" spans="1:35" ht="15" customHeight="1" thickBot="1">
      <c r="A21" s="999"/>
      <c r="B21" s="2438" t="s">
        <v>2153</v>
      </c>
      <c r="C21" s="789">
        <f ca="1">ROUND(C19*10000/L19,0)</f>
        <v>26479</v>
      </c>
      <c r="D21" s="790">
        <f ca="1">ROUND(D19*10000/L19,0)</f>
        <v>26159</v>
      </c>
      <c r="E21" s="999"/>
      <c r="F21" s="2438" t="s">
        <v>2153</v>
      </c>
      <c r="G21" s="149">
        <f ca="1">ROUND(G19*10000/L19,0)</f>
        <v>26321</v>
      </c>
      <c r="H21" s="2439" t="s">
        <v>2152</v>
      </c>
      <c r="I21" s="138"/>
    </row>
    <row r="22" spans="1:35" ht="15" thickBot="1">
      <c r="A22" s="2280" t="s">
        <v>2154</v>
      </c>
      <c r="B22" s="2440"/>
      <c r="C22" s="2441"/>
      <c r="D22" s="791">
        <f ca="1">IF(C19&lt;D19,D19/C19-1,C19/D19-1)</f>
        <v>1.2219666474985624E-2</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6999</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4185</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2814</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6999</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6999</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6999</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373</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373</v>
      </c>
      <c r="E53" s="11" t="s">
        <v>2212</v>
      </c>
      <c r="F53" s="184">
        <f>'数据-取费表'!B41</f>
        <v>5.6000000000000001E-2</v>
      </c>
      <c r="G53" s="2485"/>
      <c r="H53" s="138"/>
      <c r="I53" s="2483"/>
      <c r="J53" s="2961">
        <v>2</v>
      </c>
      <c r="K53" s="3140" t="s">
        <v>2216</v>
      </c>
      <c r="L53" s="3140"/>
      <c r="M53" s="1750">
        <f t="shared" ref="M53:O54" ca="1" si="0">D55</f>
        <v>3</v>
      </c>
      <c r="N53" s="2961" t="str">
        <f t="shared" si="0"/>
        <v>销售额×税（费）率</v>
      </c>
      <c r="O53" s="1751">
        <f t="shared" si="0"/>
        <v>5.0000000000000001E-4</v>
      </c>
    </row>
    <row r="54" spans="1:35" ht="12" customHeight="1">
      <c r="A54" s="183" t="s">
        <v>2217</v>
      </c>
      <c r="B54" s="3098" t="s">
        <v>2218</v>
      </c>
      <c r="C54" s="3099"/>
      <c r="D54" s="182">
        <f ca="1">C68</f>
        <v>373</v>
      </c>
      <c r="E54" s="30" t="s">
        <v>2219</v>
      </c>
      <c r="F54" s="184">
        <f>'数据-取费表'!B41</f>
        <v>5.6000000000000001E-2</v>
      </c>
      <c r="G54" s="2485"/>
      <c r="H54" s="2486"/>
      <c r="I54" s="2483"/>
      <c r="J54" s="2961">
        <v>3</v>
      </c>
      <c r="K54" s="3140" t="s">
        <v>2220</v>
      </c>
      <c r="L54" s="3140"/>
      <c r="M54" s="1750">
        <f t="shared" ca="1" si="0"/>
        <v>3962</v>
      </c>
      <c r="N54" s="2961" t="str">
        <f t="shared" si="0"/>
        <v>增值额×税（费）率</v>
      </c>
      <c r="O54" s="1752" t="str">
        <f t="shared" si="0"/>
        <v>——</v>
      </c>
    </row>
    <row r="55" spans="1:35" ht="24" customHeight="1">
      <c r="A55" s="3089" t="s">
        <v>2221</v>
      </c>
      <c r="B55" s="3090"/>
      <c r="C55" s="3090"/>
      <c r="D55" s="185">
        <f ca="1">IF(H55="个人住宅",0,ROUND(D45*I55,0))</f>
        <v>3</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3962</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IF(AND(J55="",J56=""),4,IF(项目基本情况!K6="上海银行",'结果表-车库'!J56+1,'结果表-车库'!J55+1))</f>
        <v>4</v>
      </c>
      <c r="K57" s="3140" t="s">
        <v>2228</v>
      </c>
      <c r="L57" s="2490" t="s">
        <v>2229</v>
      </c>
      <c r="M57" s="1755"/>
      <c r="N57" s="1756">
        <f ca="1">SUMIF(M52:M56,"&lt;9e307")</f>
        <v>3965</v>
      </c>
      <c r="O57" s="2491"/>
      <c r="P57" s="1749">
        <f ca="1">N57/M49</f>
        <v>0.5665095013573368</v>
      </c>
    </row>
    <row r="58" spans="1:35" ht="24.75">
      <c r="A58" s="183" t="s">
        <v>2210</v>
      </c>
      <c r="B58" s="3105" t="s">
        <v>2230</v>
      </c>
      <c r="C58" s="3106"/>
      <c r="D58" s="185">
        <f ca="1">IF(H58="转让取得",C81,C97)</f>
        <v>3962</v>
      </c>
      <c r="E58" s="11" t="s">
        <v>2225</v>
      </c>
      <c r="F58" s="24" t="s">
        <v>34</v>
      </c>
      <c r="G58" s="2485"/>
      <c r="H58" s="2488" t="s">
        <v>2231</v>
      </c>
      <c r="I58" s="2489"/>
      <c r="J58" s="3140"/>
      <c r="K58" s="3140"/>
      <c r="L58" s="2490" t="s">
        <v>2232</v>
      </c>
      <c r="M58" s="1757"/>
      <c r="N58" s="2492" t="str">
        <f ca="1">NUMBERSTRING(INT(N57*10000),2)&amp;"元整"</f>
        <v>叁仟玖佰陆拾伍万元整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3034</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叁仟零叁拾肆万元整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735</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6666</v>
      </c>
      <c r="D63" s="195"/>
      <c r="E63" s="196"/>
      <c r="F63" s="2489"/>
      <c r="G63" s="2489"/>
      <c r="H63" s="2497"/>
      <c r="I63" s="138"/>
      <c r="J63" s="3165" t="s">
        <v>2242</v>
      </c>
      <c r="K63" s="2957" t="s">
        <v>2243</v>
      </c>
      <c r="L63" s="1748">
        <f ca="1">IF(M49&gt;10000,M49*0.5%,IF(AND(M49&gt;1000,M49&lt;=10000),M49*1%,IF(AND(M49&gt;100,M49&lt;=1000),M49*3%,IF(AND(M49&gt;10,M49&lt;=100),M49*5%,M49*8%))))</f>
        <v>69.989999999999995</v>
      </c>
      <c r="M63" s="24">
        <f ca="1">ROUND(L63,1)</f>
        <v>70</v>
      </c>
      <c r="Z63" s="2423"/>
      <c r="AI63" s="2424"/>
    </row>
    <row r="64" spans="1:35" ht="14.25" customHeight="1">
      <c r="A64" s="197" t="s">
        <v>770</v>
      </c>
      <c r="B64" s="198" t="s">
        <v>2244</v>
      </c>
      <c r="C64" s="199">
        <f ca="1">D45</f>
        <v>6999</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34.994999999999997</v>
      </c>
      <c r="M64" s="24">
        <f t="shared" ref="M64:M65" ca="1" si="1">ROUND(L64,1)</f>
        <v>35</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6.9990000000000006</v>
      </c>
      <c r="M65" s="24">
        <f t="shared" ca="1" si="1"/>
        <v>7</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34.994999999999997</v>
      </c>
      <c r="M66" s="24">
        <f ca="1">IF(L66&gt;0.5,0.5,ROUND(L66,0))</f>
        <v>0.5</v>
      </c>
      <c r="N66" s="138" t="s">
        <v>2251</v>
      </c>
      <c r="Z66" s="2423"/>
      <c r="AI66" s="2424"/>
    </row>
    <row r="67" spans="1:35" ht="14.25" customHeight="1">
      <c r="A67" s="203" t="s">
        <v>773</v>
      </c>
      <c r="B67" s="204" t="s">
        <v>2252</v>
      </c>
      <c r="C67" s="207">
        <f ca="1">C63-C66</f>
        <v>6666</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7.4496000000000002</v>
      </c>
      <c r="M67" s="24">
        <f ca="1">ROUND(L67*0.9,1)</f>
        <v>6.7</v>
      </c>
      <c r="Z67" s="2423"/>
      <c r="AI67" s="2424"/>
    </row>
    <row r="68" spans="1:35" ht="14.25" customHeight="1" thickBot="1">
      <c r="A68" s="208" t="s">
        <v>774</v>
      </c>
      <c r="B68" s="209" t="s">
        <v>2254</v>
      </c>
      <c r="C68" s="210">
        <f ca="1">IF(C67&lt;=0,0,ROUND(C67*D68,0))</f>
        <v>373</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69.989999999999995</v>
      </c>
      <c r="M68" s="24">
        <f ca="1">ROUND(L68,1)</f>
        <v>70</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189</v>
      </c>
      <c r="N69" s="1749">
        <f ca="1">M69/M49</f>
        <v>2.700385769395628E-2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6666</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40</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40</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6626</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3962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6666</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40</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40</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6626</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3962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成本法-车库</v>
      </c>
      <c r="D101" s="737" t="str">
        <f>D4</f>
        <v>收益法-车库</v>
      </c>
      <c r="E101" s="3162" t="s">
        <v>2297</v>
      </c>
      <c r="F101" s="3116"/>
      <c r="G101" s="2520" t="s">
        <v>2298</v>
      </c>
      <c r="H101" s="1044">
        <f ca="1">H118</f>
        <v>6999</v>
      </c>
      <c r="I101" s="138"/>
    </row>
    <row r="102" spans="1:35" ht="18.75" customHeight="1">
      <c r="A102" s="3118" t="s">
        <v>2299</v>
      </c>
      <c r="B102" s="2520" t="s">
        <v>2298</v>
      </c>
      <c r="C102" s="736">
        <f ca="1">C19</f>
        <v>7041</v>
      </c>
      <c r="D102" s="737">
        <f ca="1">D19</f>
        <v>6956</v>
      </c>
      <c r="E102" s="3162"/>
      <c r="F102" s="3116"/>
      <c r="G102" s="2520" t="s">
        <v>2300</v>
      </c>
      <c r="H102" s="371">
        <f ca="1">I118</f>
        <v>8487</v>
      </c>
      <c r="I102" s="138"/>
    </row>
    <row r="103" spans="1:35" ht="42.75" customHeight="1">
      <c r="A103" s="3118"/>
      <c r="B103" s="2520" t="s">
        <v>2300</v>
      </c>
      <c r="C103" s="738">
        <f ca="1">C20</f>
        <v>8538</v>
      </c>
      <c r="D103" s="739">
        <f ca="1">D20</f>
        <v>8435</v>
      </c>
      <c r="E103" s="3157" t="s">
        <v>2301</v>
      </c>
      <c r="F103" s="3158"/>
      <c r="G103" s="2521" t="s">
        <v>2302</v>
      </c>
      <c r="H103" s="1044">
        <f>IF(D36="正常操作",H104+H105+H106,H105+H106)</f>
        <v>0</v>
      </c>
      <c r="I103" s="138"/>
    </row>
    <row r="104" spans="1:35" ht="18.75" customHeight="1">
      <c r="A104" s="3118" t="s">
        <v>2303</v>
      </c>
      <c r="B104" s="2522" t="s">
        <v>2298</v>
      </c>
      <c r="C104" s="740">
        <f ca="1">H118</f>
        <v>6999</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8487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6999</v>
      </c>
      <c r="I107" s="138"/>
    </row>
    <row r="108" spans="1:35" ht="18.75" customHeight="1">
      <c r="A108" s="138"/>
      <c r="B108" s="138"/>
      <c r="C108" s="138"/>
      <c r="D108" s="138"/>
      <c r="E108" s="3115"/>
      <c r="F108" s="3116"/>
      <c r="G108" s="2520" t="s">
        <v>2300</v>
      </c>
      <c r="H108" s="371">
        <f ca="1">ROUND(H107*10000/'数据-汇总表'!E3,0)</f>
        <v>1695</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8246.2800000000007</v>
      </c>
      <c r="C118" s="2953">
        <f>M19</f>
        <v>2659.1</v>
      </c>
      <c r="D118" s="2953">
        <f ca="1">ROUND(IF(D32="总价",C34,E118*B118/10000),0)</f>
        <v>4185</v>
      </c>
      <c r="E118" s="2953">
        <f ca="1">ROUND(IF(C33="自定义",IF(D32="楼面单价",C34,D118*10000/B118),I118-G118),0)</f>
        <v>5075</v>
      </c>
      <c r="F118" s="2953">
        <f ca="1">ROUND(IF(D32="总价",C35,G118*B118/10000),0)</f>
        <v>2814</v>
      </c>
      <c r="G118" s="2953">
        <f ca="1">ROUND(IF(D32="楼面单价",C35,F118*10000/B118),0)</f>
        <v>3412</v>
      </c>
      <c r="H118" s="2953">
        <f ca="1">ROUND(IF(D32="总价",C32,I118*B118/10000),0)</f>
        <v>6999</v>
      </c>
      <c r="I118" s="2953">
        <f ca="1">ROUND(IF(D32="楼面单价",C32,H118*10000/B118),0)</f>
        <v>8487</v>
      </c>
    </row>
    <row r="119" spans="1:11" ht="18.75" customHeight="1">
      <c r="A119" s="3026" t="s">
        <v>2318</v>
      </c>
      <c r="B119" s="3026"/>
      <c r="C119" s="3026"/>
      <c r="D119" s="3126" t="str">
        <f ca="1">NUMBERSTRING(INT(D118*10000),2)&amp;"元整"</f>
        <v>肆仟壹佰捌拾伍万元整</v>
      </c>
      <c r="E119" s="3128"/>
      <c r="F119" s="3126" t="str">
        <f ca="1">NUMBERSTRING(INT(F118*10000),2)&amp;"元整"</f>
        <v>贰仟捌佰壹拾肆万元整</v>
      </c>
      <c r="G119" s="3128"/>
      <c r="H119" s="3126" t="str">
        <f ca="1">NUMBERSTRING(INT(H118*10000),2)&amp;"元整"</f>
        <v>陆仟玖佰玖拾玖万元整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6999</v>
      </c>
      <c r="E122" s="3155"/>
      <c r="F122" s="3155"/>
      <c r="G122" s="3155"/>
      <c r="H122" s="3155"/>
      <c r="I122" s="3156"/>
    </row>
    <row r="123" spans="1:11" ht="18.75" customHeight="1">
      <c r="A123" s="3026" t="s">
        <v>2318</v>
      </c>
      <c r="B123" s="3026"/>
      <c r="C123" s="3026"/>
      <c r="D123" s="3126" t="str">
        <f ca="1">NUMBERSTRING(INT(D122*10000),2)&amp;"元整"</f>
        <v>陆仟玖佰玖拾玖万元整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7041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2824</v>
      </c>
      <c r="D5" s="255" t="s">
        <v>2335</v>
      </c>
      <c r="E5" s="256" t="s">
        <v>2336</v>
      </c>
      <c r="F5" s="256" t="s">
        <v>2337</v>
      </c>
      <c r="G5" s="257"/>
    </row>
    <row r="6" spans="1:9" s="258" customFormat="1" ht="13.5" customHeight="1">
      <c r="A6" s="948" t="s">
        <v>2338</v>
      </c>
      <c r="B6" s="259" t="s">
        <v>2339</v>
      </c>
      <c r="C6" s="260">
        <f ca="1">基准地价修正!E39</f>
        <v>2740</v>
      </c>
      <c r="D6" s="261"/>
      <c r="E6" s="262"/>
      <c r="F6" s="262"/>
      <c r="G6" s="263"/>
    </row>
    <row r="7" spans="1:9" s="258" customFormat="1" ht="13.5" customHeight="1">
      <c r="A7" s="948" t="s">
        <v>2340</v>
      </c>
      <c r="B7" s="259" t="s">
        <v>2341</v>
      </c>
      <c r="C7" s="264">
        <f ca="1">ROUND(C6*F7,0)</f>
        <v>84</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52" t="s">
        <v>1071</v>
      </c>
    </row>
    <row r="20" spans="1:7" s="258" customFormat="1" ht="13.5" customHeight="1">
      <c r="A20" s="299" t="s">
        <v>2359</v>
      </c>
      <c r="B20" s="254" t="s">
        <v>2360</v>
      </c>
      <c r="C20" s="276">
        <f ca="1">ROUND((C5+C19)*F20,0)</f>
        <v>90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295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275</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462</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462</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4212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2279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2062</v>
      </c>
      <c r="D34" s="261"/>
      <c r="E34" s="264"/>
      <c r="F34" s="301">
        <f ca="1">IF('数据-取费表'!B24=0,1,IF(B1="",'数据-取费表'!N16,INDIRECT("'数据-取费表'!n"&amp;$G$1)))</f>
        <v>1</v>
      </c>
      <c r="G34" s="263" t="s">
        <v>2392</v>
      </c>
    </row>
    <row r="35" spans="1:7" ht="13.5" customHeight="1">
      <c r="A35" s="950" t="s">
        <v>796</v>
      </c>
      <c r="B35" s="259" t="s">
        <v>2393</v>
      </c>
      <c r="C35" s="264">
        <f ca="1">ROUND(C34*F35,0)</f>
        <v>62</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124</v>
      </c>
      <c r="D37" s="261">
        <f ca="1">D19</f>
        <v>8246.2800000000007</v>
      </c>
      <c r="E37" s="293">
        <f>'数据-取费表'!B35</f>
        <v>150</v>
      </c>
      <c r="F37" s="303"/>
      <c r="G37" s="305" t="s">
        <v>2398</v>
      </c>
    </row>
    <row r="38" spans="1:7" ht="13.5" customHeight="1">
      <c r="A38" s="950" t="s">
        <v>799</v>
      </c>
      <c r="B38" s="259" t="s">
        <v>2399</v>
      </c>
      <c r="C38" s="264">
        <f ca="1">ROUND(C34*F38,0)</f>
        <v>31</v>
      </c>
      <c r="D38" s="264"/>
      <c r="E38" s="264"/>
      <c r="F38" s="303">
        <f>'数据-取费表'!B36</f>
        <v>1.4999999999999999E-2</v>
      </c>
      <c r="G38" s="263" t="s">
        <v>2394</v>
      </c>
    </row>
    <row r="39" spans="1:7" s="258" customFormat="1" ht="13.5" customHeight="1">
      <c r="A39" s="299" t="s">
        <v>2400</v>
      </c>
      <c r="B39" s="254" t="s">
        <v>2401</v>
      </c>
      <c r="C39" s="276">
        <f ca="1">ROUND(C33*F20,0)</f>
        <v>68</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108</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352</v>
      </c>
      <c r="D45" s="279">
        <f ca="1">C47</f>
        <v>4.4999999999999997E-3</v>
      </c>
      <c r="E45" s="280" t="s">
        <v>2405</v>
      </c>
      <c r="F45" s="290"/>
      <c r="G45" s="291" t="s">
        <v>2414</v>
      </c>
    </row>
    <row r="46" spans="1:7" s="258" customFormat="1" ht="13.5" customHeight="1">
      <c r="A46" s="950" t="s">
        <v>791</v>
      </c>
      <c r="B46" s="292" t="s">
        <v>2415</v>
      </c>
      <c r="C46" s="293">
        <f ca="1">ROUND((C33+C39)*F27,0)</f>
        <v>352</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3085</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2829</v>
      </c>
      <c r="D51" s="276"/>
      <c r="E51" s="276"/>
      <c r="F51" s="308"/>
      <c r="G51" s="278" t="s">
        <v>2426</v>
      </c>
    </row>
    <row r="52" spans="1:7" s="252" customFormat="1" ht="16.5" thickBot="1">
      <c r="A52" s="309" t="s">
        <v>2427</v>
      </c>
      <c r="B52" s="310"/>
      <c r="C52" s="311">
        <f ca="1">C31+C51</f>
        <v>7041</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0"/>
      <c r="B4" s="2986" t="s">
        <v>1626</v>
      </c>
      <c r="C4" s="2986"/>
      <c r="D4" s="2986"/>
      <c r="E4" s="1960"/>
    </row>
    <row r="5" spans="1:5" ht="16.5" thickTop="1">
      <c r="A5" s="1958"/>
      <c r="B5" s="2984" t="s">
        <v>1618</v>
      </c>
      <c r="C5" s="1961" t="s">
        <v>1619</v>
      </c>
      <c r="D5" s="1039">
        <f ca="1">'结果表-办公'!H101</f>
        <v>120570</v>
      </c>
      <c r="E5" s="1958"/>
    </row>
    <row r="6" spans="1:5" ht="15.75">
      <c r="A6" s="1958"/>
      <c r="B6" s="2984"/>
      <c r="C6" s="1961" t="s">
        <v>1620</v>
      </c>
      <c r="D6" s="1039" t="str">
        <f ca="1">NUMBERSTRING(INT(D5*10000),2)&amp;"元整"</f>
        <v>壹拾贰亿零伍佰柒拾万元整</v>
      </c>
      <c r="E6" s="1958"/>
    </row>
    <row r="7" spans="1:5" ht="15.75">
      <c r="A7" s="1958"/>
      <c r="B7" s="2989"/>
      <c r="C7" s="1962" t="s">
        <v>1621</v>
      </c>
      <c r="D7" s="1040">
        <f ca="1">'结果表-办公'!H102</f>
        <v>46517</v>
      </c>
      <c r="E7" s="1958"/>
    </row>
    <row r="8" spans="1:5" ht="15.75">
      <c r="A8" s="1958"/>
      <c r="B8" s="2990" t="str">
        <f>'结果表-办公'!E103</f>
        <v>2.估价师知悉的法定优先受偿款</v>
      </c>
      <c r="C8" s="1963" t="s">
        <v>1622</v>
      </c>
      <c r="D8" s="1040">
        <f>'结果表-办公'!H103</f>
        <v>0</v>
      </c>
      <c r="E8" s="1958"/>
    </row>
    <row r="9" spans="1:5" ht="15.75">
      <c r="A9" s="1958"/>
      <c r="B9" s="2992"/>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3" t="str">
        <f>'结果表-办公'!E107</f>
        <v>3.房地产抵押价值</v>
      </c>
      <c r="C13" s="1966" t="s">
        <v>1619</v>
      </c>
      <c r="D13" s="1042">
        <f ca="1">'结果表-办公'!H107</f>
        <v>120570</v>
      </c>
      <c r="E13" s="1958"/>
    </row>
    <row r="14" spans="1:5" ht="15.75">
      <c r="A14" s="1958"/>
      <c r="B14" s="2984"/>
      <c r="C14" s="1961" t="s">
        <v>1620</v>
      </c>
      <c r="D14" s="1039" t="str">
        <f ca="1">NUMBERSTRING(INT(D13*10000),2)&amp;"元整"</f>
        <v>壹拾贰亿零伍佰柒拾万元整</v>
      </c>
      <c r="E14" s="1958"/>
    </row>
    <row r="15" spans="1:5" ht="15">
      <c r="A15" s="1958"/>
      <c r="B15" s="2989"/>
      <c r="C15" s="1962" t="s">
        <v>1630</v>
      </c>
      <c r="D15" s="1051">
        <f ca="1">'结果表-办公'!H108</f>
        <v>29198</v>
      </c>
      <c r="E15" s="1958"/>
    </row>
    <row r="16" spans="1:5" ht="15">
      <c r="A16" s="1958"/>
      <c r="B16" s="2990" t="str">
        <f>'结果表-办公'!E109</f>
        <v>——</v>
      </c>
      <c r="C16" s="1966" t="s">
        <v>1631</v>
      </c>
      <c r="D16" s="1967" t="str">
        <f>'结果表-办公'!H109</f>
        <v>——</v>
      </c>
      <c r="E16" s="1958"/>
    </row>
    <row r="17" spans="1:5" ht="15.75">
      <c r="A17" s="1958"/>
      <c r="B17" s="2991"/>
      <c r="C17" s="1961" t="s">
        <v>1632</v>
      </c>
      <c r="D17" s="1039" t="e">
        <f>NUMBERSTRING(INT(D16*10000),2)&amp;"元整"</f>
        <v>#VALUE!</v>
      </c>
      <c r="E17" s="1958"/>
    </row>
    <row r="18" spans="1:5" ht="15">
      <c r="A18" s="1958"/>
      <c r="B18" s="2992"/>
      <c r="C18" s="1962" t="s">
        <v>1621</v>
      </c>
      <c r="D18" s="1051" t="str">
        <f>'结果表-办公'!H110</f>
        <v>——</v>
      </c>
      <c r="E18" s="1958"/>
    </row>
    <row r="19" spans="1:5" ht="15.75">
      <c r="A19" s="1958"/>
      <c r="B19" s="2983" t="str">
        <f>'结果表-办公'!E111</f>
        <v>——</v>
      </c>
      <c r="C19" s="1966" t="s">
        <v>1619</v>
      </c>
      <c r="D19" s="1040" t="str">
        <f>'结果表-办公'!H111</f>
        <v>——</v>
      </c>
      <c r="E19" s="1958"/>
    </row>
    <row r="20" spans="1:5" ht="15.75">
      <c r="A20" s="1958"/>
      <c r="B20" s="2984"/>
      <c r="C20" s="1961" t="s">
        <v>1632</v>
      </c>
      <c r="D20" s="1039" t="e">
        <f>NUMBERSTRING(INT(D19*10000),2)&amp;"元整"</f>
        <v>#VALUE!</v>
      </c>
      <c r="E20" s="1958"/>
    </row>
    <row r="21" spans="1:5" ht="15.75" thickBot="1">
      <c r="A21" s="1958"/>
      <c r="B21" s="2985"/>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6956</v>
      </c>
      <c r="C2" s="1844" t="s">
        <v>1512</v>
      </c>
      <c r="D2" s="1844"/>
      <c r="E2" s="1845"/>
      <c r="F2" s="1846"/>
      <c r="G2" s="1847"/>
      <c r="H2" s="1839"/>
      <c r="I2" s="1839"/>
      <c r="J2" s="1839"/>
      <c r="K2" s="1840"/>
      <c r="L2" s="1839"/>
      <c r="M2" s="1839"/>
    </row>
    <row r="3" spans="1:37" ht="18" customHeight="1" thickBot="1">
      <c r="A3" s="1848" t="s">
        <v>1513</v>
      </c>
      <c r="B3" s="1849">
        <f ca="1">IF(ISERROR(B2*10000/F43),0,ROUND(B2*10000/F43,0))</f>
        <v>8435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343</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343</v>
      </c>
      <c r="D6" s="164" t="s">
        <v>3032</v>
      </c>
      <c r="E6" s="347" t="s">
        <v>1401</v>
      </c>
      <c r="F6" s="348">
        <f ca="1">INDIRECT("'数据-取费表'!u"&amp;$G$1)</f>
        <v>1.2</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8246.2800000000007</v>
      </c>
      <c r="G7" s="1850"/>
      <c r="H7" s="349"/>
      <c r="I7" s="3230"/>
      <c r="J7" s="351"/>
      <c r="K7" s="352"/>
      <c r="L7" s="347" t="s">
        <v>1402</v>
      </c>
      <c r="M7" s="348">
        <f ca="1">F7</f>
        <v>8246.2800000000007</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2828</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2062</v>
      </c>
      <c r="D14" s="2968" t="s">
        <v>1414</v>
      </c>
      <c r="E14" s="2967"/>
      <c r="F14" s="364"/>
      <c r="G14" s="1850"/>
      <c r="H14" s="1200" t="s">
        <v>1032</v>
      </c>
      <c r="I14" s="347" t="s">
        <v>1415</v>
      </c>
      <c r="J14" s="24">
        <f ca="1">C29</f>
        <v>3085</v>
      </c>
      <c r="K14" s="2958"/>
      <c r="L14" s="978"/>
      <c r="M14" s="979"/>
    </row>
    <row r="15" spans="1:37" s="1857" customFormat="1" ht="18" customHeight="1" thickBot="1">
      <c r="A15" s="1200" t="s">
        <v>1033</v>
      </c>
      <c r="B15" s="347" t="s">
        <v>1416</v>
      </c>
      <c r="C15" s="24">
        <f ca="1">ROUND(C14*F15,0)</f>
        <v>62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75</v>
      </c>
      <c r="K16" s="1336" t="s">
        <v>1421</v>
      </c>
      <c r="L16" s="2971"/>
      <c r="M16" s="1293"/>
    </row>
    <row r="17" spans="1:37" s="1857" customFormat="1" ht="18" customHeight="1">
      <c r="A17" s="1200" t="s">
        <v>1386</v>
      </c>
      <c r="B17" s="347" t="s">
        <v>1422</v>
      </c>
      <c r="C17" s="24">
        <f ca="1">ROUND(F17*(F43+INDIRECT("'数据-取费表'!S"&amp;$G$1))/10000,0)</f>
        <v>124</v>
      </c>
      <c r="D17" s="347" t="s">
        <v>1423</v>
      </c>
      <c r="E17" s="347" t="s">
        <v>1424</v>
      </c>
      <c r="F17" s="26">
        <f>'数据-取费表'!B35</f>
        <v>150</v>
      </c>
      <c r="G17" s="1853"/>
      <c r="H17" s="1200" t="s">
        <v>1032</v>
      </c>
      <c r="I17" s="347" t="s">
        <v>1425</v>
      </c>
      <c r="J17" s="24">
        <f ca="1">ROUND(IF(项目基本情况!B11="自然人",J5*M17,J18+J19+J20),1)</f>
        <v>29.1</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2279</v>
      </c>
      <c r="D19" s="140" t="s">
        <v>1432</v>
      </c>
      <c r="E19" s="2956"/>
      <c r="F19" s="26"/>
      <c r="G19" s="1850"/>
      <c r="H19" s="1200" t="s">
        <v>1033</v>
      </c>
      <c r="I19" s="347" t="s">
        <v>1433</v>
      </c>
      <c r="J19" s="24">
        <f ca="1">IF(K19="按租金收入计税",ROUND(J5*M19,2),ROUND(C29*M19*0.7,2))</f>
        <v>25.91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68</v>
      </c>
      <c r="D20" s="369" t="s">
        <v>1436</v>
      </c>
      <c r="E20" s="347" t="s">
        <v>1418</v>
      </c>
      <c r="F20" s="367">
        <f>'数据-取费表'!B37</f>
        <v>0.03</v>
      </c>
      <c r="G20" s="1853"/>
      <c r="H20" s="1200" t="s">
        <v>1385</v>
      </c>
      <c r="I20" s="164" t="s">
        <v>1437</v>
      </c>
      <c r="J20" s="25">
        <f ca="1">ROUND(M20*M21/10000,2)</f>
        <v>3.19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46.3</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-75</v>
      </c>
      <c r="K25" s="1344" t="s">
        <v>1460</v>
      </c>
      <c r="L25" s="1345"/>
      <c r="M25" s="1346"/>
    </row>
    <row r="26" spans="1:37">
      <c r="A26" s="1200" t="s">
        <v>1031</v>
      </c>
      <c r="B26" s="347" t="s">
        <v>1461</v>
      </c>
      <c r="C26" s="24">
        <f ca="1">ROUND((C19+C20)*F26,0)</f>
        <v>352</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3085</v>
      </c>
      <c r="D29" s="1341"/>
      <c r="E29" s="1339"/>
      <c r="F29" s="1342"/>
      <c r="G29" s="1853"/>
      <c r="H29" s="380" t="s">
        <v>1030</v>
      </c>
      <c r="I29" s="381" t="s">
        <v>1475</v>
      </c>
      <c r="J29" s="382">
        <f ca="1">ROUND(J26/(1+F40)^F41,0)</f>
        <v>0</v>
      </c>
      <c r="K29" s="383" t="s">
        <v>1476</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118</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62.6</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18.29</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41.16</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3.19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2659.1</v>
      </c>
      <c r="G35" s="1850"/>
      <c r="H35" s="745"/>
      <c r="I35" s="1859"/>
      <c r="J35" s="1860"/>
      <c r="K35" s="1861"/>
      <c r="L35" s="1858"/>
      <c r="M35" s="1858"/>
    </row>
    <row r="36" spans="1:18" ht="18" customHeight="1">
      <c r="A36" s="1351" t="s">
        <v>1036</v>
      </c>
      <c r="B36" s="347" t="s">
        <v>1445</v>
      </c>
      <c r="C36" s="24">
        <f ca="1">ROUND(C29*F36,1)</f>
        <v>46.3</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4.2</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5.0999999999999996</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225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5722</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6939</v>
      </c>
      <c r="D43" s="383" t="s">
        <v>1484</v>
      </c>
      <c r="E43" s="384" t="s">
        <v>1485</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-10816</v>
      </c>
      <c r="D46" s="1871" t="str">
        <f>C2</f>
        <v>万元</v>
      </c>
      <c r="E46" s="1865"/>
      <c r="F46" s="1865"/>
      <c r="I46" s="1872" t="s">
        <v>1517</v>
      </c>
      <c r="J46" s="1873"/>
      <c r="K46" s="1874"/>
      <c r="L46" s="1875">
        <f ca="1">IF(M47="住宅",0,IF(L48&gt;J51,L60,J60))</f>
        <v>1234</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5722</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1234</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3085</v>
      </c>
      <c r="R49" s="1885" t="s">
        <v>1525</v>
      </c>
    </row>
    <row r="50" spans="1:18" s="1841" customFormat="1" ht="13.5" thickBot="1">
      <c r="A50" s="1194"/>
      <c r="B50" s="1197"/>
      <c r="C50" s="1367"/>
      <c r="D50" s="1171"/>
      <c r="E50" s="1276" t="s">
        <v>1402</v>
      </c>
      <c r="F50" s="1277">
        <f ca="1">F7</f>
        <v>8246.2800000000007</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-501</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6956</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2828</v>
      </c>
      <c r="D56" s="1913"/>
      <c r="E56" s="1914"/>
      <c r="F56" s="1906"/>
      <c r="I56" s="1915" t="s">
        <v>1550</v>
      </c>
      <c r="J56" s="1916" t="s">
        <v>3126</v>
      </c>
      <c r="K56" s="1886" t="s">
        <v>1551</v>
      </c>
      <c r="L56" s="1889" t="str">
        <f ca="1">IF(L48&lt;J51,"——",L48-J53)</f>
        <v>——</v>
      </c>
      <c r="O56" s="1883" t="s">
        <v>1037</v>
      </c>
      <c r="P56" s="1884" t="s">
        <v>1524</v>
      </c>
      <c r="Q56" s="1885">
        <f ca="1">C40+J29</f>
        <v>5722</v>
      </c>
      <c r="R56" s="1885" t="s">
        <v>1525</v>
      </c>
    </row>
    <row r="57" spans="1:18" s="1841" customFormat="1" ht="24.75" thickBot="1">
      <c r="A57" s="1917"/>
      <c r="B57" s="1168" t="s">
        <v>1474</v>
      </c>
      <c r="C57" s="282">
        <f ca="1">C29</f>
        <v>3085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313</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262.3</v>
      </c>
      <c r="D59" s="1181" t="s">
        <v>1426</v>
      </c>
      <c r="E59" s="1182" t="s">
        <v>1427</v>
      </c>
      <c r="F59" s="368" t="str">
        <f ca="1">IF(项目基本情况!B11="企业","",IF(INDIRECT("'数据-取费表'!c"&amp;$G$1)="住宅",5%,IF(F49*F50*F51/12/(1+'数据-取费表'!C42)&gt;20000,12%,7%)))</f>
        <v/>
      </c>
      <c r="I59" s="1921" t="s">
        <v>1559</v>
      </c>
      <c r="J59" s="1922">
        <f ca="1">IF(OR(M47="住宅",J51&lt;L48,J56="是"),"——",ROUND(C29*J58,0))</f>
        <v>1234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1234</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259.14</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3.19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5722</v>
      </c>
      <c r="R62" s="1885" t="s">
        <v>1044</v>
      </c>
    </row>
    <row r="63" spans="1:18" s="1841" customFormat="1" ht="13.5" thickBot="1">
      <c r="A63" s="372"/>
      <c r="B63" s="1174"/>
      <c r="C63" s="29"/>
      <c r="D63" s="1184"/>
      <c r="E63" s="1168" t="s">
        <v>1495</v>
      </c>
      <c r="F63" s="348">
        <f t="shared" ca="1" si="0"/>
        <v>2659.1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46.3</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4.2</v>
      </c>
      <c r="D65" s="1182" t="s">
        <v>1450</v>
      </c>
      <c r="E65" s="1168" t="s">
        <v>1451</v>
      </c>
      <c r="F65" s="376">
        <f t="shared" ca="1" si="0"/>
        <v>1.5E-3</v>
      </c>
      <c r="I65" s="1928" t="s">
        <v>1575</v>
      </c>
      <c r="J65" s="1929">
        <v>40</v>
      </c>
      <c r="K65" s="1929">
        <v>30</v>
      </c>
      <c r="L65" s="1929">
        <v>50</v>
      </c>
      <c r="M65" s="1931">
        <v>0.02</v>
      </c>
      <c r="O65" s="1883" t="s">
        <v>1037</v>
      </c>
      <c r="P65" s="1884" t="s">
        <v>1576</v>
      </c>
      <c r="Q65" s="1885">
        <f ca="1">C40+J29</f>
        <v>5722</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-313</v>
      </c>
      <c r="D67" s="1181" t="s">
        <v>1460</v>
      </c>
      <c r="E67" s="1186"/>
      <c r="F67" s="1187"/>
      <c r="O67" s="1893" t="s">
        <v>1039</v>
      </c>
      <c r="P67" s="1884" t="s">
        <v>1558</v>
      </c>
      <c r="Q67" s="1932">
        <f ca="1">L51</f>
        <v>-501</v>
      </c>
      <c r="R67" s="1885" t="s">
        <v>1578</v>
      </c>
    </row>
    <row r="68" spans="1:18" s="1841" customFormat="1" ht="16.5" thickBot="1">
      <c r="A68" s="1165" t="s">
        <v>1029</v>
      </c>
      <c r="B68" s="1166" t="s">
        <v>1481</v>
      </c>
      <c r="C68" s="346">
        <f ca="1">ROUND(C67*(1-((1+F70)/(1+F68))^F69)/(F68-F70),0)</f>
        <v>-5094</v>
      </c>
      <c r="D68" s="1183" t="s">
        <v>1465</v>
      </c>
      <c r="E68" s="1168" t="s">
        <v>1466</v>
      </c>
      <c r="F68" s="357">
        <f ca="1">F40</f>
        <v>5.5E-2</v>
      </c>
      <c r="O68" s="1893" t="s">
        <v>1040</v>
      </c>
      <c r="P68" s="1933" t="s">
        <v>1579</v>
      </c>
      <c r="Q68" s="1885">
        <f ca="1">ROUND(Q69-Q70*Q71,0)</f>
        <v>-30</v>
      </c>
      <c r="R68" s="1885" t="s">
        <v>1048</v>
      </c>
    </row>
    <row r="69" spans="1:18" s="1841" customFormat="1" ht="13.5" thickBot="1">
      <c r="A69" s="1169"/>
      <c r="B69" s="1170"/>
      <c r="C69" s="351"/>
      <c r="D69" s="1188" t="s">
        <v>1469</v>
      </c>
      <c r="E69" s="1168" t="s">
        <v>1470</v>
      </c>
      <c r="F69" s="379">
        <f ca="1">F41</f>
        <v>42.12</v>
      </c>
      <c r="O69" s="1893" t="s">
        <v>1045</v>
      </c>
      <c r="P69" s="1933" t="s">
        <v>1580</v>
      </c>
      <c r="Q69" s="1885">
        <f ca="1">C39</f>
        <v>225</v>
      </c>
      <c r="R69" s="1885" t="s">
        <v>1525</v>
      </c>
    </row>
    <row r="70" spans="1:18" s="1841" customFormat="1" ht="13.5" thickBot="1">
      <c r="A70" s="1172"/>
      <c r="B70" s="1173"/>
      <c r="C70" s="355"/>
      <c r="D70" s="1184"/>
      <c r="E70" s="1168" t="s">
        <v>1473</v>
      </c>
      <c r="F70" s="1274"/>
      <c r="O70" s="1893" t="s">
        <v>1046</v>
      </c>
      <c r="P70" s="1933" t="s">
        <v>1581</v>
      </c>
      <c r="Q70" s="1885">
        <f ca="1">C13</f>
        <v>2828</v>
      </c>
      <c r="R70" s="1885" t="s">
        <v>1525</v>
      </c>
    </row>
    <row r="71" spans="1:18" s="1841" customFormat="1" ht="13.5" thickBot="1">
      <c r="A71" s="1189" t="s">
        <v>1030</v>
      </c>
      <c r="B71" s="1190" t="s">
        <v>1483</v>
      </c>
      <c r="C71" s="382">
        <f ca="1">ROUND(C68*10000/F71,0)</f>
        <v>-6177</v>
      </c>
      <c r="D71" s="1191" t="s">
        <v>1484</v>
      </c>
      <c r="E71" s="1192" t="s">
        <v>1485</v>
      </c>
      <c r="F71" s="385">
        <f ca="1">F43</f>
        <v>8246.2800000000007</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255</v>
      </c>
      <c r="D75" s="1841"/>
      <c r="E75" s="1841"/>
      <c r="F75" s="1841"/>
      <c r="K75" s="1867"/>
      <c r="L75" s="1841"/>
      <c r="O75" s="1883" t="s">
        <v>1043</v>
      </c>
      <c r="P75" s="1884" t="s">
        <v>1545</v>
      </c>
      <c r="Q75" s="1885">
        <f ca="1">Q65+Q66</f>
        <v>5722</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-0.13300000000000001</v>
      </c>
    </row>
    <row r="80" spans="1:18">
      <c r="B80" s="386" t="s">
        <v>1507</v>
      </c>
      <c r="C80" s="318">
        <f ca="1">ROUND(C75/C39,3)</f>
        <v>1.133</v>
      </c>
    </row>
    <row r="81" spans="2:3">
      <c r="B81" s="314" t="s">
        <v>1508</v>
      </c>
      <c r="C81" s="282"/>
    </row>
    <row r="82" spans="2:3">
      <c r="B82" s="317" t="s">
        <v>1509</v>
      </c>
      <c r="C82" s="319">
        <f ca="1">1-C83</f>
        <v>0.50600000000000001</v>
      </c>
    </row>
    <row r="83" spans="2:3">
      <c r="B83" s="317" t="s">
        <v>1510</v>
      </c>
      <c r="C83" s="318">
        <f ca="1">ROUND(C13/C40,3)</f>
        <v>0.49399999999999999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5701</v>
      </c>
      <c r="C2" s="2904" t="s">
        <v>2997</v>
      </c>
      <c r="D2" s="2904" t="s">
        <v>2998</v>
      </c>
      <c r="E2" s="2905">
        <f ca="1">SUMIF(E6:E13,"&lt;&gt;#ref!",E6:E13)</f>
        <v>15374.580000000002</v>
      </c>
    </row>
    <row r="3" spans="1:5" ht="15.75">
      <c r="A3" s="2904" t="s">
        <v>2999</v>
      </c>
      <c r="B3" s="2905">
        <f ca="1">ROUND(B2*10000/E2,0)</f>
        <v>3708</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5701</v>
      </c>
      <c r="C6" s="2904" t="s">
        <v>2997</v>
      </c>
      <c r="D6" s="2906"/>
      <c r="E6" s="2577">
        <f ca="1">SUMIF(INDIRECT("'"&amp;A6&amp;"'"&amp;"!C:C"),"建筑面积",INDIRECT("'"&amp;A6&amp;"'"&amp;"!D:D"))</f>
        <v>15374.580000000002</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48089</v>
      </c>
      <c r="C2" s="2" t="s">
        <v>133</v>
      </c>
      <c r="D2" s="243"/>
      <c r="E2" s="243"/>
      <c r="F2" s="243"/>
      <c r="G2" s="243"/>
    </row>
    <row r="3" spans="1:7" s="244" customFormat="1" ht="18" customHeight="1" thickBot="1">
      <c r="A3" s="247" t="s">
        <v>85</v>
      </c>
      <c r="B3" s="248">
        <f ca="1">ROUND(B2*10000/'数据-汇总表'!E3,0)</f>
        <v>11646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826</v>
      </c>
      <c r="D19" s="1035">
        <f>'数据-汇总表'!E3</f>
        <v>41293.960000000006</v>
      </c>
      <c r="E19" s="255">
        <f>'数据-取费表'!B31</f>
        <v>200</v>
      </c>
      <c r="F19" s="275"/>
      <c r="G19" s="1" t="s">
        <v>1071</v>
      </c>
    </row>
    <row r="20" spans="1:7" s="258" customFormat="1" ht="13.5" customHeight="1">
      <c r="A20" s="947" t="s">
        <v>1054</v>
      </c>
      <c r="B20" s="254" t="s">
        <v>104</v>
      </c>
      <c r="C20" s="276">
        <f>ROUND((C5+C19)*F20,0)</f>
        <v>643</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1055</v>
      </c>
      <c r="C25" s="1354">
        <f ca="1">ROUND(IF('数据-取费表'!B22&lt;=1,C20*F22*'数据-取费表'!B23/2,C20*(POWER((1+F22),'数据-取费表'!B23/2)-1)),0)</f>
        <v>31</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4195</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4195</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31212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13134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11976</v>
      </c>
      <c r="D34" s="261"/>
      <c r="E34" s="264"/>
      <c r="F34" s="301">
        <f>IF('数据-取费表'!B24=0,1,'数据-取费表'!N16)</f>
        <v>1</v>
      </c>
      <c r="G34" s="263" t="s">
        <v>116</v>
      </c>
    </row>
    <row r="35" spans="1:7" ht="13.5" customHeight="1">
      <c r="A35" s="950" t="s">
        <v>796</v>
      </c>
      <c r="B35" s="259" t="s">
        <v>60</v>
      </c>
      <c r="C35" s="264">
        <f>ROUND(C34*F35,0)</f>
        <v>359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619</v>
      </c>
      <c r="D37" s="261">
        <f>'数据-汇总表'!E3</f>
        <v>41293.960000000006</v>
      </c>
      <c r="E37" s="293">
        <f>'数据-取费表'!B35</f>
        <v>150</v>
      </c>
      <c r="F37" s="303"/>
      <c r="G37" s="305" t="s">
        <v>119</v>
      </c>
    </row>
    <row r="38" spans="1:7" ht="13.5" customHeight="1">
      <c r="A38" s="950" t="s">
        <v>799</v>
      </c>
      <c r="B38" s="259" t="s">
        <v>63</v>
      </c>
      <c r="C38" s="264">
        <f>ROUND(C34*F38,0)</f>
        <v>180</v>
      </c>
      <c r="D38" s="264"/>
      <c r="E38" s="264"/>
      <c r="F38" s="303">
        <f>'数据-取费表'!B36</f>
        <v>1.4999999999999999E-2</v>
      </c>
      <c r="G38" s="263" t="s">
        <v>117</v>
      </c>
    </row>
    <row r="39" spans="1:7" s="258" customFormat="1" ht="13.5" customHeight="1">
      <c r="A39" s="947" t="s">
        <v>783</v>
      </c>
      <c r="B39" s="254" t="s">
        <v>104</v>
      </c>
      <c r="C39" s="276">
        <f>ROUND(C33*F20,0)</f>
        <v>394</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643</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624</v>
      </c>
      <c r="D42" s="282"/>
      <c r="E42" s="282"/>
      <c r="F42" s="283"/>
      <c r="G42" s="3224" t="s">
        <v>121</v>
      </c>
    </row>
    <row r="43" spans="1:7" ht="13.5" customHeight="1">
      <c r="A43" s="950" t="s">
        <v>792</v>
      </c>
      <c r="B43" s="259" t="s">
        <v>1061</v>
      </c>
      <c r="C43" s="282">
        <f ca="1">ROUND(IF('数据-取费表'!B22&lt;=1,C39*F22*'数据-取费表'!B21/2,C39*(POWER((1+F22),'数据-取费表'!B21/2)-1)),0)</f>
        <v>19</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2570</v>
      </c>
      <c r="D45" s="279">
        <f>C47</f>
        <v>5.7000000000000002E-3</v>
      </c>
      <c r="E45" s="280" t="s">
        <v>129</v>
      </c>
      <c r="F45" s="290"/>
      <c r="G45" s="291" t="s">
        <v>1069</v>
      </c>
    </row>
    <row r="46" spans="1:7" s="258" customFormat="1" ht="13.5" customHeight="1">
      <c r="A46" s="950" t="s">
        <v>794</v>
      </c>
      <c r="B46" s="292" t="s">
        <v>1062</v>
      </c>
      <c r="C46" s="293">
        <f>ROUND((C33+C39)*F27,0)</f>
        <v>2570</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18405</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16877</v>
      </c>
      <c r="D51" s="276"/>
      <c r="E51" s="276"/>
      <c r="F51" s="308"/>
      <c r="G51" s="278" t="s">
        <v>64</v>
      </c>
    </row>
    <row r="52" spans="1:7" s="252" customFormat="1" ht="16.5" thickBot="1">
      <c r="A52" s="309" t="s">
        <v>65</v>
      </c>
      <c r="B52" s="310"/>
      <c r="C52" s="311">
        <f ca="1">C31+C51</f>
        <v>48089</v>
      </c>
      <c r="D52" s="310"/>
      <c r="E52" s="310"/>
      <c r="F52" s="310"/>
      <c r="G52" s="312"/>
    </row>
    <row r="55" spans="1:7" ht="15">
      <c r="B55" s="314" t="s">
        <v>66</v>
      </c>
      <c r="C55" s="315"/>
    </row>
    <row r="56" spans="1:7">
      <c r="B56" s="317" t="s">
        <v>67</v>
      </c>
      <c r="C56" s="318">
        <f ca="1">ROUND(C51/C52,3)</f>
        <v>0.35099999999999998</v>
      </c>
    </row>
    <row r="57" spans="1:7">
      <c r="B57" s="317" t="s">
        <v>68</v>
      </c>
      <c r="C57" s="319">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868</v>
      </c>
      <c r="B1" s="330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'结果表-办公'!D116</f>
        <v>出让国有建设用地使用权价值</v>
      </c>
      <c r="E2" s="3003"/>
      <c r="F2" s="3003" t="str">
        <f>'结果表-办公'!F116</f>
        <v>在建建筑物价值</v>
      </c>
      <c r="G2" s="3003"/>
      <c r="H2" s="3003" t="str">
        <f>IF(项目基本情况!B9="房地产市场价值","房地产市场价值","房地产价值")</f>
        <v>房地产价值</v>
      </c>
      <c r="I2" s="3003"/>
    </row>
    <row r="3" spans="1:9" ht="15">
      <c r="A3" s="2997"/>
      <c r="B3" s="2997"/>
      <c r="C3" s="2997"/>
      <c r="D3" s="1043" t="s">
        <v>1634</v>
      </c>
      <c r="E3" s="1043" t="s">
        <v>1640</v>
      </c>
      <c r="F3" s="1043" t="s">
        <v>1634</v>
      </c>
      <c r="G3" s="1043" t="s">
        <v>1635</v>
      </c>
      <c r="H3" s="1043" t="s">
        <v>1634</v>
      </c>
      <c r="I3" s="1043" t="s">
        <v>1635</v>
      </c>
    </row>
    <row r="4" spans="1:9" ht="15">
      <c r="A4" s="1972" t="str">
        <f>项目基本情况!S2</f>
        <v>北京市房地产</v>
      </c>
      <c r="B4" s="1043">
        <f>项目基本情况!C17</f>
        <v>41293.960000000006</v>
      </c>
      <c r="C4" s="1043">
        <f>项目基本情况!C18</f>
        <v>13315.65</v>
      </c>
      <c r="D4" s="1043">
        <f ca="1">'结果表-办公'!D118</f>
        <v>94045</v>
      </c>
      <c r="E4" s="1043">
        <f ca="1">'结果表-办公'!E118</f>
        <v>36283</v>
      </c>
      <c r="F4" s="1043">
        <f ca="1">'结果表-办公'!F118</f>
        <v>26525</v>
      </c>
      <c r="G4" s="1043">
        <f ca="1">'结果表-办公'!G118</f>
        <v>10234</v>
      </c>
      <c r="H4" s="1043">
        <f ca="1">'结果表-办公'!H118</f>
        <v>120570</v>
      </c>
      <c r="I4" s="1043">
        <f ca="1">'结果表-办公'!I118</f>
        <v>46517</v>
      </c>
    </row>
    <row r="5" spans="1:9" ht="30" customHeight="1">
      <c r="A5" s="2997" t="s">
        <v>1636</v>
      </c>
      <c r="B5" s="2997"/>
      <c r="C5" s="2997"/>
      <c r="D5" s="2998" t="str">
        <f ca="1">'结果表-办公'!D119</f>
        <v>玖亿肆仟零肆拾伍万元整</v>
      </c>
      <c r="E5" s="2998"/>
      <c r="F5" s="2998" t="str">
        <f ca="1">'结果表-办公'!F119</f>
        <v>贰亿陆仟伍佰贰拾伍万元整</v>
      </c>
      <c r="G5" s="2998"/>
      <c r="H5" s="2998" t="str">
        <f ca="1">'结果表-办公'!H119</f>
        <v>壹拾贰亿零伍佰柒拾万元整</v>
      </c>
      <c r="I5" s="2998"/>
    </row>
    <row r="6" spans="1:9" ht="15.75">
      <c r="A6" s="2996" t="str">
        <f>'结果表-办公'!A120</f>
        <v>估价师知悉的法定优先受偿款</v>
      </c>
      <c r="B6" s="2996"/>
      <c r="C6" s="2996"/>
      <c r="D6" s="2996">
        <f>'结果表-办公'!D120</f>
        <v>0</v>
      </c>
      <c r="E6" s="2996"/>
      <c r="F6" s="2996"/>
      <c r="G6" s="2996"/>
      <c r="H6" s="2996"/>
      <c r="I6" s="2996"/>
    </row>
    <row r="7" spans="1:9" ht="15">
      <c r="A7" s="2997" t="s">
        <v>1636</v>
      </c>
      <c r="B7" s="2997"/>
      <c r="C7" s="2997"/>
      <c r="D7" s="2999" t="str">
        <f>'结果表-办公'!D121</f>
        <v>零元整</v>
      </c>
      <c r="E7" s="3000"/>
      <c r="F7" s="3000"/>
      <c r="G7" s="3000"/>
      <c r="H7" s="3000"/>
      <c r="I7" s="3001"/>
    </row>
    <row r="8" spans="1:9" ht="15.75">
      <c r="A8" s="2996" t="str">
        <f>'结果表-办公'!A122</f>
        <v>房地产抵押价值</v>
      </c>
      <c r="B8" s="2996"/>
      <c r="C8" s="2996"/>
      <c r="D8" s="2996">
        <f ca="1">'结果表-办公'!D122</f>
        <v>120570</v>
      </c>
      <c r="E8" s="2996"/>
      <c r="F8" s="2996"/>
      <c r="G8" s="2996"/>
      <c r="H8" s="2996"/>
      <c r="I8" s="2996"/>
    </row>
    <row r="9" spans="1:9" ht="15">
      <c r="A9" s="2997" t="s">
        <v>1636</v>
      </c>
      <c r="B9" s="2997"/>
      <c r="C9" s="2997"/>
      <c r="D9" s="2998" t="str">
        <f ca="1">'结果表-办公'!D123</f>
        <v>壹拾贰亿零伍佰柒拾万元整</v>
      </c>
      <c r="E9" s="2998"/>
      <c r="F9" s="2998"/>
      <c r="G9" s="2998"/>
      <c r="H9" s="2998"/>
      <c r="I9" s="2998"/>
    </row>
    <row r="10" spans="1:9" ht="15.75">
      <c r="A10" s="2996" t="str">
        <f>'结果表-办公'!A124</f>
        <v/>
      </c>
      <c r="B10" s="2996"/>
      <c r="C10" s="2996"/>
      <c r="D10" s="2996" t="str">
        <f>'结果表-办公'!D124</f>
        <v>——</v>
      </c>
      <c r="E10" s="2996"/>
      <c r="F10" s="2996"/>
      <c r="G10" s="2996"/>
      <c r="H10" s="2996"/>
      <c r="I10" s="2996"/>
    </row>
    <row r="11" spans="1:9" ht="15">
      <c r="A11" s="2997" t="s">
        <v>1636</v>
      </c>
      <c r="B11" s="2997"/>
      <c r="C11" s="2997"/>
      <c r="D11" s="2998" t="e">
        <f>'结果表-办公'!D125</f>
        <v>#VALUE!</v>
      </c>
      <c r="E11" s="2998"/>
      <c r="F11" s="2998"/>
      <c r="G11" s="2998"/>
      <c r="H11" s="2998"/>
      <c r="I11" s="2998"/>
    </row>
    <row r="12" spans="1:9" ht="15.75">
      <c r="A12" s="2996" t="str">
        <f>'结果表-办公'!A126</f>
        <v/>
      </c>
      <c r="B12" s="2996"/>
      <c r="C12" s="2996"/>
      <c r="D12" s="2996" t="str">
        <f>'结果表-办公'!D126</f>
        <v>——</v>
      </c>
      <c r="E12" s="2996"/>
      <c r="F12" s="2996"/>
      <c r="G12" s="2996"/>
      <c r="H12" s="2996"/>
      <c r="I12" s="2996"/>
    </row>
    <row r="13" spans="1:9" ht="15.75" thickBot="1">
      <c r="A13" s="2993" t="s">
        <v>1636</v>
      </c>
      <c r="B13" s="2993"/>
      <c r="C13" s="2993"/>
      <c r="D13" s="2994" t="e">
        <f>'结果表-办公'!D127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0" t="s">
        <v>1658</v>
      </c>
      <c r="B1" s="3010"/>
      <c r="C1" s="3010"/>
      <c r="D1" s="3010"/>
    </row>
    <row r="2" spans="1:4" ht="18">
      <c r="A2" s="3011" t="s">
        <v>1642</v>
      </c>
      <c r="B2" s="3011"/>
      <c r="C2" s="3011"/>
      <c r="D2" s="3011"/>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1" t="s">
        <v>1648</v>
      </c>
      <c r="B6" s="3011"/>
      <c r="C6" s="3011"/>
      <c r="D6" s="3011"/>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2"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1652</v>
      </c>
      <c r="B16" s="3006"/>
      <c r="C16" s="3006"/>
      <c r="D16" s="3006"/>
    </row>
    <row r="17" spans="1:4" ht="144" customHeight="1">
      <c r="A17" s="3006" t="s">
        <v>1653</v>
      </c>
      <c r="B17" s="3006"/>
      <c r="C17" s="3006"/>
      <c r="D17" s="3006"/>
    </row>
    <row r="18" spans="1:4" ht="15.75" customHeight="1">
      <c r="A18" s="3004" t="str">
        <f>IF(项目基本情况!B8="抵押",'结果表-办公'!K120,"——")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8" t="s">
        <v>1665</v>
      </c>
      <c r="B15" s="3013" t="s">
        <v>136</v>
      </c>
      <c r="C15" s="3014"/>
    </row>
    <row r="16" spans="1:7" ht="13.5">
      <c r="A16" s="3019"/>
      <c r="B16" s="3013" t="s">
        <v>69</v>
      </c>
      <c r="C16" s="3014"/>
    </row>
    <row r="17" spans="1:3" ht="13.5">
      <c r="A17" s="3019"/>
      <c r="B17" s="3016" t="s">
        <v>1666</v>
      </c>
      <c r="C17" s="1999" t="s">
        <v>1665</v>
      </c>
    </row>
    <row r="18" spans="1:3" ht="13.5">
      <c r="A18" s="3019"/>
      <c r="B18" s="3016"/>
      <c r="C18" s="1999" t="s">
        <v>1667</v>
      </c>
    </row>
    <row r="19" spans="1:3" ht="13.5">
      <c r="A19" s="3019"/>
      <c r="B19" s="3016"/>
      <c r="C19" s="1999" t="s">
        <v>1668</v>
      </c>
    </row>
    <row r="20" spans="1:3" ht="13.5">
      <c r="A20" s="3020"/>
      <c r="B20" s="3015" t="s">
        <v>1669</v>
      </c>
      <c r="C20" s="3014"/>
    </row>
    <row r="21" spans="1:3" ht="13.5">
      <c r="A21" s="2000" t="s">
        <v>1670</v>
      </c>
      <c r="B21" s="2001"/>
      <c r="C21" s="2002"/>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1999" t="s">
        <v>1676</v>
      </c>
    </row>
    <row r="26" spans="1:3" ht="13.5">
      <c r="A26" s="3017"/>
      <c r="B26" s="3016"/>
      <c r="C26" s="1999" t="s">
        <v>1677</v>
      </c>
    </row>
    <row r="27" spans="1:3" ht="13.5">
      <c r="A27" s="3017"/>
      <c r="B27" s="3016"/>
      <c r="C27" s="1999" t="s">
        <v>1678</v>
      </c>
    </row>
    <row r="28" spans="1:3" ht="13.5">
      <c r="A28" s="3017"/>
      <c r="B28" s="3016"/>
      <c r="C28" s="1999" t="s">
        <v>1679</v>
      </c>
    </row>
    <row r="29" spans="1:3" ht="13.5">
      <c r="A29" s="3017"/>
      <c r="B29" s="3016"/>
      <c r="C29" s="1999" t="s">
        <v>1680</v>
      </c>
    </row>
    <row r="30" spans="1:3" ht="13.5">
      <c r="A30" s="3017"/>
      <c r="B30" s="3016"/>
      <c r="C30" s="1999" t="s">
        <v>1681</v>
      </c>
    </row>
    <row r="31" spans="1:3" ht="13.5">
      <c r="A31" s="3017"/>
      <c r="B31" s="3016"/>
      <c r="C31" s="1999" t="s">
        <v>1682</v>
      </c>
    </row>
    <row r="32" spans="1:3" ht="13.5">
      <c r="A32" s="3017"/>
      <c r="B32" s="3016"/>
      <c r="C32" s="1999" t="s">
        <v>1683</v>
      </c>
    </row>
    <row r="33" spans="1:3" ht="13.5">
      <c r="A33" s="3017"/>
      <c r="B33" s="3016"/>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1" t="s">
        <v>843</v>
      </c>
      <c r="B25" s="3021"/>
      <c r="C25" s="3021"/>
      <c r="D25" s="3021"/>
      <c r="E25" s="3021"/>
      <c r="F25" s="3021"/>
      <c r="G25" s="3021"/>
    </row>
    <row r="26" spans="1:7" s="1024" customFormat="1" ht="24" customHeight="1">
      <c r="A26" s="3022" t="s">
        <v>844</v>
      </c>
      <c r="B26" s="3022"/>
      <c r="C26" s="3023"/>
      <c r="D26" s="3024" t="s">
        <v>845</v>
      </c>
      <c r="E26" s="3022"/>
      <c r="F26" s="3022"/>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典型户型修正</vt:lpstr>
      <vt:lpstr>成本法 (元)</vt:lpstr>
      <vt:lpstr>假设开发法</vt:lpstr>
      <vt:lpstr>收益法-办公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2019-05-27T06:43:04Z</dcterms:modified>
</cp:coreProperties>
</file>