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1430" windowHeight="11070" tabRatio="899" firstSheet="14"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5" i="74" l="1"/>
  <c r="B14" i="74"/>
  <c r="G19" i="6" l="1"/>
  <c r="Y6" i="1"/>
  <c r="N6" i="1"/>
  <c r="N21" i="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R6" i="79"/>
  <c r="R8" i="79"/>
  <c r="R7" i="79"/>
  <c r="P9" i="79"/>
  <c r="T7" i="79"/>
  <c r="W7" i="79" s="1"/>
  <c r="T8" i="79"/>
  <c r="W8" i="79" s="1"/>
  <c r="T6" i="79"/>
  <c r="W6" i="79" s="1"/>
  <c r="V9" i="79"/>
  <c r="V8" i="79"/>
  <c r="V6" i="79"/>
  <c r="V7" i="79"/>
  <c r="T26" i="79"/>
  <c r="W26" i="79" s="1"/>
  <c r="T27" i="79"/>
  <c r="W27" i="79" s="1"/>
  <c r="T28" i="79"/>
  <c r="W28" i="79" s="1"/>
  <c r="K3" i="79"/>
  <c r="M3" i="79"/>
  <c r="P3" i="79" s="1"/>
  <c r="O3" i="79"/>
  <c r="T3" i="79"/>
  <c r="W3" i="79" s="1"/>
  <c r="V3" i="79"/>
  <c r="S5" i="79"/>
  <c r="U5" i="79"/>
  <c r="P5" i="79"/>
  <c r="S9" i="79"/>
  <c r="S8" i="79"/>
  <c r="S7" i="79"/>
  <c r="S6" i="79"/>
  <c r="U9" i="79"/>
  <c r="U7" i="79"/>
  <c r="U6" i="79"/>
  <c r="U8"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3" i="71"/>
  <c r="D42" i="71"/>
  <c r="C47" i="71"/>
  <c r="D47" i="71" s="1"/>
  <c r="D46" i="71"/>
  <c r="C51" i="71"/>
  <c r="D50" i="71"/>
  <c r="P28" i="71"/>
  <c r="E55" i="71"/>
  <c r="E56" i="71" s="1"/>
  <c r="U56" i="71"/>
  <c r="E59" i="71"/>
  <c r="E60" i="71"/>
  <c r="U60" i="71" s="1"/>
  <c r="E63" i="71"/>
  <c r="E64" i="71" s="1"/>
  <c r="U64" i="71"/>
  <c r="U68" i="71"/>
  <c r="E67" i="71"/>
  <c r="Q28" i="7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T28" i="71"/>
  <c r="C27" i="7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D87" i="71"/>
  <c r="C86" i="71"/>
  <c r="D86" i="71"/>
  <c r="D79" i="71"/>
  <c r="C78" i="71"/>
  <c r="D78" i="71" s="1"/>
  <c r="D71" i="71"/>
  <c r="C70" i="71"/>
  <c r="D70" i="71"/>
  <c r="C60" i="71"/>
  <c r="D59" i="71"/>
  <c r="C56" i="71"/>
  <c r="D55" i="71"/>
  <c r="P67" i="71"/>
  <c r="E66" i="71"/>
  <c r="P65" i="71" s="1"/>
  <c r="C52" i="71"/>
  <c r="D51" i="71"/>
  <c r="C44" i="71"/>
  <c r="D43" i="71"/>
  <c r="C40" i="71"/>
  <c r="D39" i="71"/>
  <c r="C36" i="71"/>
  <c r="D35" i="71"/>
  <c r="C32" i="71"/>
  <c r="D31" i="71"/>
  <c r="C26" i="71"/>
  <c r="D26" i="71"/>
  <c r="D27" i="71"/>
  <c r="V28" i="71"/>
  <c r="P66" i="71"/>
  <c r="O66" i="71"/>
  <c r="D66" i="71"/>
  <c r="O65" i="71"/>
  <c r="T32" i="71"/>
  <c r="D32" i="71"/>
  <c r="T36" i="71"/>
  <c r="D36" i="71"/>
  <c r="T40" i="71"/>
  <c r="D40" i="71"/>
  <c r="T44" i="71"/>
  <c r="D44"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S34" i="35"/>
  <c r="W34" i="35"/>
  <c r="W36" i="35"/>
  <c r="W22" i="35"/>
  <c r="S31" i="35"/>
  <c r="U34" i="35"/>
  <c r="F36" i="34"/>
  <c r="J35" i="34"/>
  <c r="W9"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s="1"/>
  <c r="AZ527" i="3"/>
  <c r="BQ525" i="3"/>
  <c r="BL525" i="3"/>
  <c r="AZ525" i="3" s="1"/>
  <c r="BQ523" i="3"/>
  <c r="BL523" i="3" s="1"/>
  <c r="AZ523" i="3"/>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c r="I123" i="33" s="1"/>
  <c r="J123" i="33" s="1"/>
  <c r="K123" i="33" s="1"/>
  <c r="L123" i="33" s="1"/>
  <c r="M123" i="33" s="1"/>
  <c r="H42" i="33"/>
  <c r="AB42" i="33" s="1"/>
  <c r="G125" i="33"/>
  <c r="J43" i="33"/>
  <c r="AC43" i="33"/>
  <c r="U43" i="33"/>
  <c r="S28" i="31"/>
  <c r="S27" i="31"/>
  <c r="S26" i="31"/>
  <c r="U14" i="40"/>
  <c r="U35" i="35"/>
  <c r="AA12" i="35"/>
  <c r="W14" i="37"/>
  <c r="AB28" i="37"/>
  <c r="U33" i="37"/>
  <c r="U39" i="37"/>
  <c r="W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s="1"/>
  <c r="AC12" i="37"/>
  <c r="F94" i="37"/>
  <c r="G94" i="37"/>
  <c r="H94" i="37" s="1"/>
  <c r="I94" i="37" s="1"/>
  <c r="J94" i="37" s="1"/>
  <c r="K94" i="37" s="1"/>
  <c r="L94" i="37" s="1"/>
  <c r="M94" i="37" s="1"/>
  <c r="H31" i="37"/>
  <c r="U31" i="37"/>
  <c r="F71" i="37"/>
  <c r="G71" i="37"/>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D35" i="9"/>
  <c r="B7" i="76"/>
  <c r="M9" i="15"/>
  <c r="L47" i="67"/>
  <c r="B8" i="76"/>
  <c r="E10" i="76"/>
  <c r="E12" i="76"/>
  <c r="B13" i="76"/>
  <c r="M24" i="67"/>
  <c r="F38" i="67"/>
  <c r="F43" i="15"/>
  <c r="M8" i="67"/>
  <c r="M29" i="67"/>
  <c r="M24" i="15"/>
  <c r="C76" i="15"/>
  <c r="J15" i="15"/>
  <c r="B11" i="76"/>
  <c r="M22" i="15"/>
  <c r="F9" i="15"/>
  <c r="F6" i="15"/>
  <c r="F7" i="15"/>
  <c r="E13" i="76"/>
  <c r="B12" i="76"/>
  <c r="F40" i="67"/>
  <c r="F42" i="67"/>
  <c r="J15" i="67"/>
  <c r="F36" i="67"/>
  <c r="D34" i="9"/>
  <c r="B9" i="76"/>
  <c r="L48" i="67"/>
  <c r="M22" i="67"/>
  <c r="F37" i="15"/>
  <c r="D3" i="73"/>
  <c r="E2" i="69"/>
  <c r="F26" i="67"/>
  <c r="M23" i="15"/>
  <c r="F26" i="15"/>
  <c r="D4" i="73"/>
  <c r="F7" i="67"/>
  <c r="M26" i="15"/>
  <c r="C76" i="67"/>
  <c r="F8" i="67"/>
  <c r="L48" i="15"/>
  <c r="F36" i="15"/>
  <c r="M26" i="67"/>
  <c r="F5" i="73"/>
  <c r="E8" i="76"/>
  <c r="M29" i="15"/>
  <c r="D5" i="73"/>
  <c r="F8" i="15"/>
  <c r="F20" i="31"/>
  <c r="F37" i="67"/>
  <c r="L47" i="15"/>
  <c r="F16" i="67"/>
  <c r="F43" i="67"/>
  <c r="M28" i="67"/>
  <c r="F42" i="15"/>
  <c r="M23" i="67"/>
  <c r="F3" i="73"/>
  <c r="M6" i="67"/>
  <c r="F40" i="15"/>
  <c r="F4" i="73"/>
  <c r="B10" i="76"/>
  <c r="F9" i="67"/>
  <c r="D7" i="73"/>
  <c r="F6" i="67"/>
  <c r="M6" i="15"/>
  <c r="E11" i="76"/>
  <c r="F16" i="15"/>
  <c r="F38" i="15"/>
  <c r="M28" i="15"/>
  <c r="F13" i="67"/>
  <c r="E7" i="76"/>
  <c r="E9" i="76"/>
  <c r="F6" i="73"/>
  <c r="AO13" i="1"/>
  <c r="D6" i="73"/>
  <c r="E2" i="68"/>
  <c r="M8" i="15"/>
  <c r="M9" i="67"/>
  <c r="F7" i="73"/>
  <c r="F13" i="15"/>
  <c r="A24" i="51" l="1"/>
  <c r="B18" i="72" s="1"/>
  <c r="C28" i="67"/>
  <c r="D20" i="71"/>
  <c r="U20" i="71" s="1"/>
  <c r="T20" i="71"/>
  <c r="V20" i="71"/>
  <c r="S41" i="34"/>
  <c r="AA41" i="34"/>
  <c r="AZ581" i="3"/>
  <c r="AZ585" i="3"/>
  <c r="S12" i="21"/>
  <c r="AA12" i="21"/>
  <c r="D17" i="71"/>
  <c r="C16" i="71"/>
  <c r="E15" i="71"/>
  <c r="E14" i="71" s="1"/>
  <c r="E13" i="71" s="1"/>
  <c r="E12" i="71" s="1"/>
  <c r="V16" i="71"/>
  <c r="G28" i="6"/>
  <c r="G30" i="6" s="1"/>
  <c r="G31" i="6" s="1"/>
  <c r="F29" i="6"/>
  <c r="AZ557" i="3"/>
  <c r="AZ495" i="3"/>
  <c r="AZ513" i="3"/>
  <c r="AZ517" i="3"/>
  <c r="AZ567" i="3"/>
  <c r="AZ571" i="3"/>
  <c r="AZ575" i="3"/>
  <c r="AZ579" i="3"/>
  <c r="AZ439" i="3"/>
  <c r="AZ466" i="3"/>
  <c r="AZ475" i="3"/>
  <c r="AZ483" i="3"/>
  <c r="AZ489" i="3"/>
  <c r="AZ316" i="3"/>
  <c r="AZ332" i="3"/>
  <c r="AZ397" i="3"/>
  <c r="U46" i="33"/>
  <c r="AA13" i="35"/>
  <c r="B73" i="43"/>
  <c r="B79" i="43"/>
  <c r="B76" i="43"/>
  <c r="B75" i="43"/>
  <c r="AZ398" i="3"/>
  <c r="AZ405" i="3"/>
  <c r="AZ407" i="3"/>
  <c r="AZ410" i="3"/>
  <c r="AZ415" i="3"/>
  <c r="AZ420" i="3"/>
  <c r="AZ426" i="3"/>
  <c r="AZ431" i="3"/>
  <c r="AZ448" i="3"/>
  <c r="AZ452" i="3"/>
  <c r="AZ461" i="3"/>
  <c r="AZ463" i="3"/>
  <c r="AZ468" i="3"/>
  <c r="AZ470" i="3"/>
  <c r="AZ479" i="3"/>
  <c r="AZ485" i="3"/>
  <c r="AZ385" i="3"/>
  <c r="AZ210" i="3"/>
  <c r="J23" i="35"/>
  <c r="F25" i="37"/>
  <c r="J25" i="37"/>
  <c r="F26" i="37"/>
  <c r="H26" i="37"/>
  <c r="F44" i="39"/>
  <c r="H38" i="40"/>
  <c r="J38" i="40"/>
  <c r="H39" i="40"/>
  <c r="AZ221" i="3"/>
  <c r="AZ230" i="3"/>
  <c r="AZ246" i="3"/>
  <c r="AZ252" i="3"/>
  <c r="AZ272" i="3"/>
  <c r="AZ276" i="3"/>
  <c r="AZ289" i="3"/>
  <c r="AZ294" i="3"/>
  <c r="AZ300" i="3"/>
  <c r="AZ118" i="3"/>
  <c r="AZ121" i="3"/>
  <c r="AZ134" i="3"/>
  <c r="AZ137" i="3"/>
  <c r="AZ145" i="3"/>
  <c r="AZ161" i="3"/>
  <c r="AZ177" i="3"/>
  <c r="AZ193" i="3"/>
  <c r="AZ34" i="3"/>
  <c r="AZ38" i="3"/>
  <c r="AZ44" i="3"/>
  <c r="AZ48" i="3"/>
  <c r="AZ56" i="3"/>
  <c r="AZ60" i="3"/>
  <c r="AZ73" i="3"/>
  <c r="AZ78" i="3"/>
  <c r="AZ87" i="3"/>
  <c r="AZ91" i="3"/>
  <c r="AZ95" i="3"/>
  <c r="AZ98" i="3"/>
  <c r="AZ100" i="3"/>
  <c r="AZ104" i="3"/>
  <c r="S21" i="21"/>
  <c r="U18" i="36"/>
  <c r="AB25" i="71"/>
  <c r="AB27" i="71"/>
  <c r="X9" i="71"/>
  <c r="X10" i="71"/>
  <c r="AB9" i="71"/>
  <c r="AB10" i="71"/>
  <c r="AB24" i="71"/>
  <c r="Y22" i="71"/>
  <c r="Z22" i="71" s="1"/>
  <c r="AB23" i="71"/>
  <c r="Y21" i="71"/>
  <c r="Z21" i="71" s="1"/>
  <c r="AA21" i="71"/>
  <c r="X21" i="71"/>
  <c r="X17" i="71"/>
  <c r="Y17" i="71"/>
  <c r="Z17" i="71" s="1"/>
  <c r="AA17" i="71"/>
  <c r="AB18" i="71"/>
  <c r="Y14" i="71"/>
  <c r="Z14" i="71" s="1"/>
  <c r="S28" i="71"/>
  <c r="AA29" i="71"/>
  <c r="X39" i="71"/>
  <c r="Y9" i="71"/>
  <c r="Z9" i="71" s="1"/>
  <c r="Y10" i="71"/>
  <c r="Z10" i="71" s="1"/>
  <c r="AA9" i="71"/>
  <c r="AA10" i="71"/>
  <c r="AB39" i="71"/>
  <c r="X22" i="71"/>
  <c r="AA24" i="71"/>
  <c r="AA23" i="71"/>
  <c r="AA22" i="71"/>
  <c r="AB21" i="71"/>
  <c r="Y18" i="71"/>
  <c r="Z18" i="71" s="1"/>
  <c r="X18" i="71"/>
  <c r="AA18" i="71"/>
  <c r="X14" i="71"/>
  <c r="AA13" i="71"/>
  <c r="F67" i="71"/>
  <c r="X24" i="71"/>
  <c r="Y24" i="71"/>
  <c r="Z24" i="71" s="1"/>
  <c r="AB15" i="71"/>
  <c r="AB17" i="71"/>
  <c r="AB11" i="71"/>
  <c r="AB14" i="71"/>
  <c r="Y12" i="71"/>
  <c r="Z12" i="71" s="1"/>
  <c r="Y13" i="71"/>
  <c r="Z13" i="71" s="1"/>
  <c r="X11" i="71"/>
  <c r="AA11" i="71"/>
  <c r="Y23" i="71"/>
  <c r="Z23" i="71" s="1"/>
  <c r="X15" i="71"/>
  <c r="AA15" i="71"/>
  <c r="AB12" i="71"/>
  <c r="AB13" i="71"/>
  <c r="Y11" i="71"/>
  <c r="Z11" i="71" s="1"/>
  <c r="X13" i="71"/>
  <c r="X12" i="71"/>
  <c r="AA12"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E28" i="6"/>
  <c r="K14" i="1" s="1"/>
  <c r="K16"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N370" i="46" l="1"/>
  <c r="G26" i="43"/>
  <c r="U39" i="40"/>
  <c r="AB39" i="40"/>
  <c r="AB38" i="40"/>
  <c r="U38" i="40"/>
  <c r="AB26" i="37"/>
  <c r="U26" i="37"/>
  <c r="AC25" i="37"/>
  <c r="W25" i="37"/>
  <c r="AC23" i="35"/>
  <c r="W23" i="35"/>
  <c r="E11" i="71"/>
  <c r="E10" i="71" s="1"/>
  <c r="E9" i="71" s="1"/>
  <c r="E8" i="71" s="1"/>
  <c r="E7" i="71" s="1"/>
  <c r="E6" i="71" s="1"/>
  <c r="E5" i="71" s="1"/>
  <c r="V12" i="71"/>
  <c r="B15" i="71"/>
  <c r="B14" i="71" s="1"/>
  <c r="B13" i="71" s="1"/>
  <c r="B12" i="71" s="1"/>
  <c r="S16" i="71"/>
  <c r="F66" i="71"/>
  <c r="Q67" i="71"/>
  <c r="AC38" i="40"/>
  <c r="W38" i="40"/>
  <c r="AA44" i="39"/>
  <c r="S44" i="39"/>
  <c r="AA26" i="37"/>
  <c r="S26" i="37"/>
  <c r="AA25" i="37"/>
  <c r="S25" i="37"/>
  <c r="C15" i="71"/>
  <c r="T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D15" i="71"/>
  <c r="C1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4" i="71" l="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4" i="67"/>
  <c r="C17" i="67"/>
  <c r="C17" i="15"/>
  <c r="C25" i="11" l="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W7"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l="1"/>
  <c r="V48" i="21" s="1"/>
  <c r="I48" i="21" s="1"/>
  <c r="J7" i="35"/>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F35" i="67"/>
  <c r="M21"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6" i="71" l="1"/>
  <c r="C5" i="71"/>
  <c r="D5" i="71" s="1"/>
  <c r="M24" i="43" s="1"/>
  <c r="Q65" i="67"/>
  <c r="Q66" i="67"/>
  <c r="Q57" i="67"/>
  <c r="B2" i="33"/>
  <c r="B3" i="33" s="1"/>
  <c r="C83" i="67"/>
  <c r="C82" i="67" s="1"/>
  <c r="Q47" i="67"/>
  <c r="Q53" i="67" s="1"/>
  <c r="C46" i="67"/>
  <c r="Q56" i="67"/>
  <c r="C43" i="67"/>
  <c r="D2" i="67"/>
  <c r="B2" i="67" s="1"/>
  <c r="D14" i="74" s="1"/>
  <c r="C80" i="15"/>
  <c r="C79" i="15" s="1"/>
  <c r="C40" i="15"/>
  <c r="C46" i="15" s="1"/>
  <c r="H7" i="39"/>
  <c r="J7" i="39"/>
  <c r="S7" i="39"/>
  <c r="AA7" i="39"/>
  <c r="R47" i="39" s="1"/>
  <c r="O63" i="40"/>
  <c r="O65" i="40" s="1"/>
  <c r="N65" i="40"/>
  <c r="D2" i="37"/>
  <c r="D2" i="36"/>
  <c r="D19" i="9"/>
  <c r="L51" i="15"/>
  <c r="C19" i="9"/>
  <c r="D2" i="35"/>
  <c r="D2" i="34"/>
  <c r="D102" i="9" l="1"/>
  <c r="D21" i="9"/>
  <c r="C102" i="9"/>
  <c r="D15" i="74" s="1"/>
  <c r="D22" i="9"/>
  <c r="G19" i="9"/>
  <c r="G21" i="9" s="1"/>
  <c r="C21"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6" i="1"/>
  <c r="AO11" i="1"/>
  <c r="AO7" i="1"/>
  <c r="C20" i="9"/>
  <c r="AO9" i="1"/>
  <c r="D20" i="9"/>
  <c r="AO10" i="1"/>
  <c r="AO8" i="1"/>
  <c r="F15" i="74" l="1"/>
  <c r="D103" i="9"/>
  <c r="C103" i="9"/>
  <c r="G20" i="9"/>
  <c r="C32"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C105" i="9" s="1"/>
  <c r="H118" i="9" l="1"/>
  <c r="C104" i="9" s="1"/>
  <c r="F118" i="9"/>
  <c r="F4" i="52" s="1"/>
  <c r="B51" i="72" s="1"/>
  <c r="H102" i="9"/>
  <c r="E118" i="9"/>
  <c r="I4" i="52"/>
  <c r="F119" i="9" l="1"/>
  <c r="F5" i="52" s="1"/>
  <c r="B53" i="72" s="1"/>
  <c r="H119" i="9"/>
  <c r="H5" i="52" s="1"/>
  <c r="H101" i="9"/>
  <c r="H4" i="52"/>
  <c r="D7" i="53"/>
  <c r="B21" i="72" s="1"/>
  <c r="E14" i="74"/>
  <c r="E15" i="74" s="1"/>
  <c r="F14" i="74"/>
  <c r="B5" i="74"/>
  <c r="E4" i="52"/>
  <c r="B48" i="72" s="1"/>
  <c r="D118" i="9"/>
  <c r="M48" i="9"/>
  <c r="D45" i="9"/>
  <c r="D5" i="53"/>
  <c r="H107" i="9"/>
  <c r="D122" i="9" l="1"/>
  <c r="H108" i="9"/>
  <c r="D13" i="53"/>
  <c r="D53" i="9"/>
  <c r="C93" i="9"/>
  <c r="C86" i="9" s="1"/>
  <c r="C78" i="9"/>
  <c r="C73" i="9" s="1"/>
  <c r="D52" i="9"/>
  <c r="C64" i="9"/>
  <c r="C63" i="9" s="1"/>
  <c r="C67" i="9" s="1"/>
  <c r="C85" i="9"/>
  <c r="C72" i="9"/>
  <c r="C79" i="9" s="1"/>
  <c r="D55" i="9"/>
  <c r="M53" i="9" s="1"/>
  <c r="D119" i="9"/>
  <c r="D5" i="52" s="1"/>
  <c r="B49" i="72" s="1"/>
  <c r="D4" i="52"/>
  <c r="B47" i="72" s="1"/>
  <c r="B20" i="72"/>
  <c r="D6" i="53"/>
  <c r="B22" i="72" s="1"/>
  <c r="C5" i="74"/>
  <c r="D5" i="74"/>
  <c r="C95" i="9" l="1"/>
  <c r="C96" i="9" s="1"/>
  <c r="E96" i="9" s="1"/>
  <c r="E97" i="9" s="1"/>
  <c r="D14" i="53"/>
  <c r="B32" i="72" s="1"/>
  <c r="B30" i="72"/>
  <c r="D8" i="52"/>
  <c r="D123" i="9"/>
  <c r="D9" i="52" s="1"/>
  <c r="C80" i="9"/>
  <c r="E80" i="9" s="1"/>
  <c r="E81" i="9" s="1"/>
  <c r="D59" i="9"/>
  <c r="M55" i="9" s="1"/>
  <c r="C68" i="9"/>
  <c r="D54" i="9" s="1"/>
  <c r="C6" i="74"/>
  <c r="D15" i="53"/>
  <c r="B31" i="72" s="1"/>
  <c r="C81" i="9" l="1"/>
  <c r="C97" i="9"/>
  <c r="D58" i="9" s="1"/>
  <c r="D56" i="9" s="1"/>
  <c r="M54" i="9" s="1"/>
  <c r="N57" i="9" s="1"/>
  <c r="N59" i="9" l="1"/>
  <c r="N58"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<sst xmlns="http://schemas.openxmlformats.org/spreadsheetml/2006/main" count="7782" uniqueCount="3395">
  <si>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</si>
  <si>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</si>
  <si>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</si>
  <si>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</si>
  <si>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</si>
  <si>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</si>
  <si>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</si>
  <si>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</si>
  <si>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</si>
  <si>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</si>
  <si>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</si>
  <si>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</si>
  <si>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</si>
  <si>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</si>
  <si>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</si>
  <si>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</si>
  <si>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</si>
  <si>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</si>
  <si>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</si>
  <si>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</si>
  <si>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</si>
  <si>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</si>
  <si>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</si>
  <si>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</si>
  <si>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</si>
  <si>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</si>
  <si>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</si>
  <si>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</si>
  <si>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</si>
  <si>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</si>
  <si>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</si>
  <si>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</si>
  <si>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</si>
  <si>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</si>
  <si>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</si>
  <si>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</si>
  <si>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</si>
  <si>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</si>
  <si>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</si>
  <si>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</si>
  <si>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</si>
  <si>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</si>
  <si>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</si>
  <si>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</si>
  <si>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</si>
  <si>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</si>
  <si>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</si>
  <si>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</si>
  <si>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</si>
  <si>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</si>
  <si>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</si>
  <si>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</si>
  <si>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</si>
  <si>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</si>
  <si>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</si>
  <si>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</si>
  <si>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</si>
  <si>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</si>
  <si>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</si>
  <si>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</si>
  <si>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</si>
  <si>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</si>
  <si>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</si>
  <si>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</si>
  <si>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</si>
  <si>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</si>
  <si>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</si>
  <si>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</si>
  <si>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</si>
  <si>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</si>
  <si>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</si>
  <si>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</si>
  <si>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</si>
  <si>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</si>
  <si>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</si>
  <si>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</si>
  <si>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</si>
  <si>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</si>
  <si>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</si>
  <si>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</si>
  <si>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</si>
  <si>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</si>
  <si>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</si>
  <si>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</si>
  <si>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</si>
  <si>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</si>
  <si>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</si>
  <si>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</si>
  <si>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</si>
  <si>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</si>
  <si>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</si>
  <si>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</si>
  <si>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</si>
  <si>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</si>
  <si>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</si>
  <si>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</si>
  <si>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</si>
  <si>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</si>
  <si>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</si>
  <si>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</si>
  <si>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</si>
  <si>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</si>
  <si>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</si>
  <si>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</si>
  <si>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</si>
  <si>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</si>
  <si>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</si>
  <si>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</si>
  <si>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</si>
  <si>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</si>
  <si>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</si>
  <si>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</si>
  <si>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</si>
  <si>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</si>
  <si>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</si>
  <si>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</si>
  <si>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</si>
  <si>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</si>
  <si>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</si>
  <si>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</si>
  <si>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</si>
  <si>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</si>
  <si>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</si>
  <si>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</si>
  <si>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</si>
  <si>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</si>
  <si>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</si>
  <si>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</si>
  <si>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</si>
  <si>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</si>
  <si>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</si>
  <si>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</si>
  <si>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</si>
  <si>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</si>
  <si>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</si>
  <si>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</si>
  <si>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</si>
  <si>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</si>
  <si>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</si>
  <si>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</si>
  <si>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</si>
  <si>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</si>
  <si>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</si>
  <si>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</si>
  <si>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</si>
  <si>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</si>
  <si>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</si>
  <si>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</si>
  <si>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</si>
  <si>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</si>
  <si>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</si>
  <si>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</si>
  <si>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</si>
  <si>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</si>
  <si>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</si>
  <si>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</si>
  <si>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</si>
  <si>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</si>
  <si>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</si>
  <si>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</si>
  <si>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</si>
  <si>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</si>
  <si>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</si>
  <si>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</si>
  <si>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</si>
  <si>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</si>
  <si>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</si>
  <si>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</si>
  <si>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</si>
  <si>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</si>
  <si>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</si>
  <si>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</si>
  <si>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</si>
  <si>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</si>
  <si>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</si>
  <si>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</si>
  <si>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</si>
  <si>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</si>
  <si>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</si>
  <si>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</si>
  <si>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</si>
  <si>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</si>
  <si>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</si>
  <si>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</si>
  <si>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</si>
  <si>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</si>
  <si>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</si>
  <si>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</si>
  <si>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</si>
  <si>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</si>
  <si>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</si>
  <si>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</si>
  <si>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</si>
  <si>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</si>
  <si>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</si>
  <si>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</si>
  <si>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</si>
  <si>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</si>
  <si>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</si>
  <si>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</si>
  <si>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</si>
  <si>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</si>
  <si>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</si>
  <si>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</si>
  <si>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</si>
  <si>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</si>
  <si>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</si>
  <si>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</si>
  <si>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</si>
  <si>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</si>
  <si>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</si>
  <si>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</si>
  <si>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</si>
  <si>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</si>
  <si>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</si>
  <si>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</si>
  <si>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</si>
  <si>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</si>
  <si>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</si>
  <si>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</si>
  <si>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</si>
  <si>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</si>
  <si>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</si>
  <si>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</si>
  <si>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</si>
  <si>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</si>
  <si>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</si>
  <si>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</si>
  <si>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</si>
  <si>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</si>
  <si>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</si>
  <si>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</si>
  <si>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</si>
  <si>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</si>
  <si>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</si>
  <si>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</si>
  <si>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</si>
  <si>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</si>
  <si>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</si>
  <si>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</si>
  <si>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</si>
  <si>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</si>
  <si>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</si>
  <si>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</si>
  <si>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</si>
  <si>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</si>
  <si>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</si>
  <si>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</si>
  <si>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</si>
  <si>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</si>
  <si>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</si>
  <si>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</si>
  <si>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</si>
  <si>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</si>
  <si>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</si>
  <si>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</si>
  <si>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</si>
  <si>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</si>
  <si>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</si>
  <si>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</si>
  <si>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</si>
  <si>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</si>
  <si>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</si>
  <si>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</si>
  <si>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</si>
  <si>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</si>
  <si>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</si>
  <si>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</si>
  <si>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</si>
  <si>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</si>
  <si>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</si>
  <si>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</si>
  <si>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</si>
  <si>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</si>
  <si>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</si>
  <si>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</si>
  <si>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</si>
  <si>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</si>
  <si>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</si>
  <si>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</si>
  <si>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</si>
  <si>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</si>
  <si>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</si>
  <si>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</si>
  <si>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</si>
  <si>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</si>
  <si>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</si>
  <si>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</si>
  <si>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</si>
  <si>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</si>
  <si>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</si>
  <si>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</si>
  <si>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</si>
  <si>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</si>
  <si>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</si>
  <si>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</si>
  <si>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</si>
  <si>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</si>
  <si>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</si>
  <si>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</si>
  <si>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</si>
  <si>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</si>
  <si>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</si>
  <si>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</si>
  <si>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</si>
  <si>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</si>
  <si>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</si>
  <si>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</si>
  <si>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</si>
  <si>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</si>
  <si>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</si>
  <si>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</si>
  <si>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</si>
  <si>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</si>
  <si>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</si>
  <si>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</si>
  <si>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</si>
  <si>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</si>
  <si>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</si>
  <si>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</si>
  <si>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</si>
  <si>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</si>
  <si>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</si>
  <si>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</si>
  <si>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</si>
  <si>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</si>
  <si>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</si>
  <si>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</si>
  <si>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</si>
  <si>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</si>
  <si>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</si>
  <si>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</si>
  <si>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</si>
  <si>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</si>
  <si>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</si>
  <si>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</si>
  <si>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</si>
  <si>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</si>
  <si>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</si>
  <si>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</si>
  <si>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</si>
  <si>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</si>
  <si>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</si>
  <si>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</si>
  <si>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</si>
  <si>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</si>
  <si>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</si>
  <si>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</si>
  <si>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</si>
  <si>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</si>
  <si>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</si>
  <si>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</si>
  <si>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</si>
  <si>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</si>
  <si>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</si>
  <si>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</si>
  <si>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</si>
  <si>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</si>
  <si>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</si>
  <si>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</si>
  <si>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</si>
  <si>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</si>
  <si>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</si>
  <si>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</si>
  <si>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</si>
  <si>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</si>
  <si>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</si>
  <si>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</si>
  <si>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</si>
  <si>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</si>
  <si>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</si>
  <si>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</si>
  <si>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</si>
  <si>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</si>
  <si>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</si>
  <si>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</si>
  <si>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</si>
  <si>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</si>
  <si>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</si>
  <si>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</si>
  <si>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</si>
  <si>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</si>
  <si>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</si>
  <si>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</si>
  <si>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</si>
  <si>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</si>
  <si>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</si>
  <si>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</si>
  <si>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</si>
  <si>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</si>
  <si>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</si>
  <si>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</si>
  <si>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</si>
  <si>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</si>
  <si>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</si>
  <si>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</si>
  <si>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</si>
  <si>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</si>
  <si>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</si>
  <si>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</si>
  <si>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</si>
  <si>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</si>
  <si>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</si>
  <si>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</si>
  <si>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</si>
  <si>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</si>
  <si>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</si>
  <si>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</si>
  <si>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</si>
  <si>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</si>
  <si>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</si>
  <si>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</si>
  <si>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</si>
  <si>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</si>
  <si>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</si>
  <si>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</si>
  <si>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</si>
  <si>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</si>
  <si>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</si>
  <si>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</si>
  <si>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</si>
  <si>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</si>
  <si>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</si>
  <si>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</si>
  <si>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</si>
  <si>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</si>
  <si>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</si>
  <si>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</si>
  <si>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</si>
  <si>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</si>
  <si>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</si>
  <si>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</si>
  <si>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</si>
  <si>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</si>
  <si>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</si>
  <si>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</si>
  <si>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</si>
  <si>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</si>
  <si>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</si>
  <si>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</si>
  <si>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</si>
  <si>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</si>
  <si>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</si>
  <si>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</si>
  <si>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</si>
  <si>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</si>
  <si>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</si>
  <si>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</si>
  <si>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</si>
  <si>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</si>
  <si>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</si>
  <si>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</si>
  <si>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</si>
  <si>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</si>
  <si>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</si>
  <si>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</si>
  <si>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</si>
  <si>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</si>
  <si>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</si>
  <si>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</si>
  <si>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</si>
  <si>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</si>
  <si>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</si>
  <si>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</si>
  <si>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</si>
  <si>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</si>
  <si>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</si>
  <si>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</si>
  <si>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</si>
  <si>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</si>
  <si>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</si>
  <si>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</si>
  <si>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</si>
  <si>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</si>
  <si>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</si>
  <si>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</si>
  <si>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</si>
  <si>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</si>
  <si>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</si>
  <si>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</si>
  <si>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</si>
  <si>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</si>
  <si>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</si>
  <si>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</si>
  <si>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</si>
  <si>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</si>
  <si>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</si>
  <si>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</si>
  <si>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</si>
  <si>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</si>
  <si>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</si>
  <si>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</si>
  <si>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</si>
  <si>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</si>
  <si>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</si>
  <si>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</si>
  <si>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</si>
  <si>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</si>
  <si>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</si>
  <si>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</si>
  <si>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</si>
  <si>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</si>
  <si>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</si>
  <si>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</si>
  <si>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</si>
  <si>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</si>
  <si>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</si>
  <si>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</si>
  <si>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</si>
  <si>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</si>
  <si>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</si>
  <si>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</si>
  <si>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</si>
  <si>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</si>
  <si>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</si>
  <si>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</si>
  <si>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</si>
  <si>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</si>
  <si>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</si>
  <si>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</si>
  <si>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</si>
  <si>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</si>
  <si>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</si>
  <si>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</si>
  <si>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</si>
  <si>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</si>
  <si>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</si>
  <si>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</si>
  <si>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</si>
  <si>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</si>
  <si>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</si>
  <si>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</si>
  <si>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</si>
  <si>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</si>
  <si>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</si>
  <si>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</si>
  <si>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</si>
  <si>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</si>
  <si>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</si>
  <si>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</si>
  <si>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</si>
  <si>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</si>
  <si>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</si>
  <si>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</si>
  <si>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</si>
  <si>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</si>
  <si>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</si>
  <si>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</si>
  <si>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</si>
  <si>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</si>
  <si>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</si>
  <si>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</si>
  <si>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</si>
  <si>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</si>
  <si>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</si>
  <si>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</si>
  <si>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</si>
  <si>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</si>
  <si>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</si>
  <si>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</si>
  <si>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</si>
  <si>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</si>
  <si>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</si>
  <si>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</si>
  <si>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</si>
  <si>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</si>
  <si>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</si>
  <si>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</si>
  <si>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</si>
  <si>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</si>
  <si>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</si>
  <si>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</si>
  <si>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</si>
  <si>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</si>
  <si>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</si>
  <si>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</si>
  <si>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</si>
  <si>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</si>
  <si>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</si>
  <si>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</si>
  <si>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</si>
  <si>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</si>
  <si>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</si>
  <si>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</si>
  <si>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</si>
  <si>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</si>
  <si>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</si>
  <si>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</si>
  <si>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</si>
  <si>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</si>
  <si>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</si>
  <si>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</si>
  <si>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</si>
  <si>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</si>
  <si>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</si>
  <si>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</si>
  <si>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</si>
  <si>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</si>
  <si>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</si>
  <si>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</si>
  <si>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</si>
  <si>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</si>
  <si>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</si>
  <si>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</si>
  <si>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</si>
  <si>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</si>
  <si>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</si>
  <si>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</si>
  <si>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</si>
  <si>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</si>
  <si>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</si>
  <si>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</si>
  <si>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</si>
  <si>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</si>
  <si>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</si>
  <si>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</si>
  <si>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</si>
  <si>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</si>
  <si>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</si>
  <si>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</si>
  <si>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</si>
  <si>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</si>
  <si>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</si>
  <si>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</si>
  <si>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</si>
  <si>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</si>
  <si>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</si>
  <si>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</si>
  <si>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</si>
  <si>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</si>
  <si>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</si>
  <si>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</si>
  <si>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</si>
  <si>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</si>
  <si>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</si>
  <si>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</si>
  <si>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</si>
  <si>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</si>
  <si>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</si>
  <si>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</si>
  <si>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</si>
  <si>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</si>
  <si>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</si>
  <si>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</si>
  <si>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</si>
  <si>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</si>
  <si>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</si>
  <si>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</si>
  <si>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</si>
  <si>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</si>
  <si>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</si>
  <si>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</si>
  <si>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</si>
  <si>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</si>
  <si>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</si>
  <si>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</si>
  <si>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</si>
  <si>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</si>
  <si>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</si>
  <si>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</si>
  <si>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</si>
  <si>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</si>
  <si>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</si>
  <si>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</si>
  <si>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</si>
  <si>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</si>
  <si>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</si>
  <si>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</si>
  <si>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</si>
  <si>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</si>
  <si>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</si>
  <si>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</si>
  <si>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</si>
  <si>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</si>
  <si>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</si>
  <si>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</si>
  <si>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</si>
  <si>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</si>
  <si>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</si>
  <si>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</si>
  <si>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</si>
  <si>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</si>
  <si>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</si>
  <si>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</si>
  <si>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</si>
  <si>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</si>
  <si>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</si>
  <si>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</si>
  <si>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</si>
  <si>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</si>
  <si>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</si>
  <si>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</si>
  <si>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</si>
  <si>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</si>
  <si>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</si>
  <si>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</si>
  <si>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</si>
  <si>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</si>
  <si>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</si>
  <si>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</si>
  <si>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</si>
  <si>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</si>
  <si>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</si>
  <si>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</si>
  <si>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</si>
  <si>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</si>
  <si>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</si>
  <si>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</si>
  <si>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</si>
  <si>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</si>
  <si>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</si>
  <si>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</si>
  <si>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</si>
  <si>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</si>
  <si>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</si>
  <si>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</si>
  <si>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</si>
  <si>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</si>
  <si>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</si>
  <si>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</si>
  <si>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</si>
  <si>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</si>
  <si>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</si>
  <si>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</si>
  <si>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</si>
  <si>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</si>
  <si>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</si>
  <si>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</si>
  <si>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</si>
  <si>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</si>
  <si>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</si>
  <si>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</si>
  <si>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</si>
  <si>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</si>
  <si>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</si>
  <si>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</si>
  <si>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</si>
  <si>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</si>
  <si>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</si>
  <si>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</si>
  <si>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</si>
  <si>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</si>
  <si>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</si>
  <si>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</si>
  <si>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</si>
  <si>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</si>
  <si>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</si>
  <si>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</si>
  <si>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</si>
  <si>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</si>
  <si>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</si>
  <si>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</si>
  <si>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</si>
  <si>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</si>
  <si>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</si>
  <si>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</si>
  <si>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</si>
  <si>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</si>
  <si>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</si>
  <si>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</si>
  <si>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</si>
  <si>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</si>
  <si>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</si>
  <si>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</si>
  <si>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</si>
  <si>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</si>
  <si>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</si>
  <si>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</si>
  <si>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</si>
  <si>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</si>
  <si>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</si>
  <si>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</si>
  <si>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</si>
  <si>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</si>
  <si>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</si>
  <si>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</si>
  <si>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</si>
  <si>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</si>
  <si>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</si>
  <si>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</si>
  <si>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</si>
  <si>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</si>
  <si>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</si>
  <si>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</si>
  <si>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</si>
  <si>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</si>
  <si>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</si>
  <si>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</si>
  <si>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</si>
  <si>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</si>
  <si>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</si>
  <si>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</si>
  <si>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</si>
  <si>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</si>
  <si>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</si>
  <si>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</si>
  <si>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</si>
  <si>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</si>
  <si>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</si>
  <si>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</si>
  <si>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</si>
  <si>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</si>
  <si>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</si>
  <si>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</si>
  <si>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</si>
  <si>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</si>
  <si>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</si>
  <si>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</si>
  <si>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</si>
  <si>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</si>
  <si>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</si>
  <si>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</si>
  <si>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</si>
  <si>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</si>
  <si>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</si>
  <si>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</si>
  <si>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</si>
  <si>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</si>
  <si>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</si>
  <si>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</si>
  <si>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</si>
  <si>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</si>
  <si>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</si>
  <si>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</si>
  <si>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</si>
  <si>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</si>
  <si>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</si>
  <si>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</si>
  <si>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</si>
  <si>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</si>
  <si>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</si>
  <si>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</si>
  <si>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</si>
  <si>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</si>
  <si>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</si>
  <si>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</si>
  <si>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</si>
  <si>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</si>
  <si>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</si>
  <si>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</si>
  <si>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</si>
  <si>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</si>
  <si>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</si>
  <si>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</si>
  <si>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</si>
  <si>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</si>
  <si>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</si>
  <si>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</si>
  <si>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</si>
  <si>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</si>
  <si>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</si>
  <si>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</si>
  <si>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</si>
  <si>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</si>
  <si>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</si>
  <si>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</si>
  <si>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</si>
  <si>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</si>
  <si>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</si>
  <si>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</si>
  <si>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</si>
  <si>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</si>
  <si>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</si>
  <si>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</si>
  <si>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</si>
  <si>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</si>
  <si>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</si>
  <si>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</si>
  <si>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</si>
  <si>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</si>
  <si>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</si>
  <si>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</si>
  <si>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</si>
  <si>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</si>
  <si>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</si>
  <si>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</si>
  <si>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</si>
  <si>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</si>
  <si>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</si>
  <si>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</si>
  <si>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</si>
  <si>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</si>
  <si>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</si>
  <si>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</si>
  <si>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</si>
  <si>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</si>
  <si>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</si>
  <si>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</si>
  <si>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</si>
  <si>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</si>
  <si>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</si>
  <si>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</si>
  <si>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</si>
  <si>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</si>
  <si>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</si>
  <si>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</si>
  <si>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</si>
  <si>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</si>
  <si>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</si>
  <si>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</si>
  <si>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</si>
  <si>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</si>
  <si>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</si>
  <si>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</si>
  <si>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</si>
  <si>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</si>
  <si>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</si>
  <si>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</si>
  <si>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</si>
  <si>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</si>
  <si>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</si>
  <si>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</si>
  <si>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</si>
  <si>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</si>
  <si>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</si>
  <si>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</si>
  <si>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</si>
  <si>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</si>
  <si>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</si>
  <si>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</si>
  <si>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</si>
  <si>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</si>
  <si>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</si>
  <si>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</si>
  <si>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</si>
  <si>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</si>
  <si>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</si>
  <si>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</si>
  <si>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</si>
  <si>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</si>
  <si>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</si>
  <si>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</si>
  <si>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</si>
  <si>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</si>
  <si>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</si>
  <si>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</si>
  <si>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</si>
  <si>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</si>
  <si>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</si>
  <si>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</si>
  <si>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</si>
  <si>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</si>
  <si>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</si>
  <si>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</si>
  <si>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</si>
  <si>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</si>
  <si>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</si>
  <si>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</si>
  <si>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</si>
  <si>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</si>
  <si>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</si>
  <si>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</si>
  <si>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</si>
  <si>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</si>
  <si>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</si>
  <si>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</si>
  <si>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</si>
  <si>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</si>
  <si>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</si>
  <si>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</si>
  <si>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</si>
  <si>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</si>
  <si>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</si>
  <si>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</si>
  <si>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</si>
  <si>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</si>
  <si>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</si>
  <si>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</si>
  <si>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</si>
  <si>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</si>
  <si>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</si>
  <si>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</si>
  <si>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</si>
  <si>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</si>
  <si>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</si>
  <si>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</si>
  <si>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</si>
  <si>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</si>
  <si>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</si>
  <si>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</si>
  <si>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</si>
  <si>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</si>
  <si>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</si>
  <si>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</si>
  <si>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</si>
  <si>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</si>
  <si>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</si>
  <si>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</si>
  <si>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</si>
  <si>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</si>
  <si>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</si>
  <si>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</si>
  <si>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</si>
  <si>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</si>
  <si>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</si>
  <si>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</si>
  <si>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</si>
  <si>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</si>
  <si>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</si>
  <si>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</si>
  <si>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</si>
  <si>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</si>
  <si>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</si>
  <si>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</si>
  <si>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</si>
  <si>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</si>
  <si>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</si>
  <si>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</si>
  <si>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</si>
  <si>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</si>
  <si>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</si>
  <si>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</si>
  <si>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</si>
  <si>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</si>
  <si>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</si>
  <si>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</si>
  <si>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</si>
  <si>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</si>
  <si>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</si>
  <si>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</si>
  <si>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</si>
  <si>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</si>
  <si>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</si>
  <si>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</si>
  <si>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</si>
  <si>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</si>
  <si>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</si>
  <si>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</si>
  <si>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</si>
  <si>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</si>
  <si>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</si>
  <si>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</si>
  <si>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</si>
  <si>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</si>
  <si>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</si>
  <si>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</si>
  <si>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</si>
  <si>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</si>
  <si>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</si>
  <si>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</si>
  <si>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</si>
  <si>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</si>
  <si>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</si>
  <si>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</si>
  <si>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</si>
  <si>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</si>
  <si>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</si>
  <si>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</si>
  <si>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</si>
  <si>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</si>
  <si>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</si>
  <si>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</si>
  <si>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</si>
  <si>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</si>
  <si>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</si>
  <si>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</si>
  <si>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</si>
  <si>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</si>
  <si>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</si>
  <si>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</si>
  <si>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</si>
  <si>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</si>
  <si>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</si>
  <si>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</si>
  <si>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</si>
  <si>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</si>
  <si>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</si>
  <si>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</si>
  <si>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</si>
  <si>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</si>
  <si>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</si>
  <si>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</si>
  <si>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</si>
  <si>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</si>
  <si>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</si>
  <si>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</si>
  <si>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</si>
  <si>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</si>
  <si>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</si>
  <si>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</si>
  <si>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</si>
  <si>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</si>
  <si>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</si>
  <si>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</si>
  <si>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</si>
  <si>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</si>
  <si>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</si>
  <si>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</si>
  <si>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</si>
  <si>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</si>
  <si>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</si>
  <si>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</si>
  <si>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</si>
  <si>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</si>
  <si>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</si>
  <si>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</si>
  <si>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</si>
  <si>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</si>
  <si>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</si>
  <si>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</si>
  <si>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</si>
  <si>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</si>
  <si>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</si>
  <si>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</si>
  <si>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</si>
  <si>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</si>
  <si>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</si>
  <si>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</si>
  <si>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</si>
  <si>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</si>
  <si>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</si>
  <si>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</si>
  <si>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</si>
  <si>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</si>
  <si>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</si>
  <si>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</si>
  <si>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</si>
  <si>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</si>
  <si>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</si>
  <si>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</si>
  <si>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</si>
  <si>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</si>
  <si>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</si>
  <si>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</si>
  <si>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</si>
  <si>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</si>
  <si>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</si>
  <si>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</si>
  <si>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</si>
  <si>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</si>
  <si>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</si>
  <si>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</si>
  <si>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</si>
  <si>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</si>
  <si>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</si>
  <si>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</si>
  <si>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</si>
  <si>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</si>
  <si>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</si>
  <si>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</si>
  <si>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</si>
  <si>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</si>
  <si>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</si>
  <si>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</si>
  <si>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</si>
  <si>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</si>
  <si>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</si>
  <si>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</si>
  <si>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</si>
  <si>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</si>
  <si>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</si>
  <si>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</si>
  <si>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</si>
  <si>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</si>
  <si>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</si>
  <si>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</si>
  <si>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</si>
  <si>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</si>
  <si>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</si>
  <si>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</si>
  <si>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</si>
  <si>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</si>
  <si>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</si>
  <si>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</si>
  <si>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</si>
  <si>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</si>
  <si>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</si>
  <si>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</si>
  <si>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</si>
  <si>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</si>
  <si>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</si>
  <si>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</si>
  <si>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</si>
  <si>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</si>
  <si>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</si>
  <si>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</si>
  <si>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</si>
  <si>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</si>
  <si>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</si>
  <si>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</si>
  <si>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</si>
  <si>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</si>
  <si>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</si>
  <si>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</si>
  <si>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</si>
  <si>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</si>
  <si>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</si>
  <si>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</si>
  <si>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</si>
  <si>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</si>
  <si>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</si>
  <si>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</si>
  <si>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</si>
  <si>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</si>
  <si>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</si>
  <si>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</si>
  <si>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</si>
  <si>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</si>
  <si>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</si>
  <si>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</si>
  <si>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</si>
  <si>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</si>
  <si>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</si>
  <si>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</si>
  <si>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</si>
  <si>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</si>
  <si>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</si>
  <si>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</si>
  <si>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</si>
  <si>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</si>
  <si>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</si>
  <si>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</si>
  <si>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</si>
  <si>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</si>
  <si>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</si>
  <si>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</si>
  <si>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</si>
  <si>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</si>
  <si>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</si>
  <si>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</si>
  <si>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</si>
  <si>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</si>
  <si>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</si>
  <si>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</si>
  <si>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</si>
  <si>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</si>
  <si>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</si>
  <si>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</si>
  <si>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</si>
  <si>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</si>
  <si>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</si>
  <si>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</si>
  <si>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</si>
  <si>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</si>
  <si>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</si>
  <si>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</si>
  <si>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</si>
  <si>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</si>
  <si>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</si>
  <si>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</si>
  <si>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</si>
  <si>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</si>
  <si>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</si>
  <si>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</si>
  <si>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</si>
  <si>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</si>
  <si>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</si>
  <si>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</si>
  <si>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</si>
  <si>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</si>
  <si>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</si>
  <si>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</si>
  <si>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</si>
  <si>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</si>
  <si>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</si>
  <si>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</si>
  <si>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</si>
  <si>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</si>
  <si>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</si>
  <si>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</si>
  <si>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</si>
  <si>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</si>
  <si>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</si>
  <si>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</si>
  <si>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</si>
  <si>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</si>
  <si>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</si>
  <si>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</si>
  <si>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</si>
  <si>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</si>
  <si>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</si>
  <si>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</si>
  <si>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</si>
  <si>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</si>
  <si>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</si>
  <si>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</si>
  <si>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</si>
  <si>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</si>
  <si>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</si>
  <si>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</si>
  <si>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</si>
  <si>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</si>
  <si>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</si>
  <si>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</si>
  <si>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</si>
  <si>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</si>
  <si>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</si>
  <si>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</si>
  <si>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</si>
  <si>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</si>
  <si>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</si>
  <si>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</si>
  <si>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</si>
  <si>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</si>
  <si>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</si>
  <si>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</si>
  <si>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</si>
  <si>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</si>
  <si>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</si>
  <si>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</si>
  <si>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</si>
  <si>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</si>
  <si>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</si>
  <si>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</si>
  <si>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</si>
  <si>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</si>
  <si>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</si>
  <si>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</si>
  <si>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</si>
  <si>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</si>
  <si>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</si>
  <si>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</si>
  <si>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</si>
  <si>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</si>
  <si>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</si>
  <si>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</si>
  <si>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</si>
  <si>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</si>
  <si>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</si>
  <si>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</si>
  <si>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</si>
  <si>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</si>
  <si>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</si>
  <si>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</si>
  <si>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</si>
  <si>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</si>
  <si>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</si>
  <si>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</si>
  <si>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</si>
  <si>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</si>
  <si>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</si>
  <si>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</si>
  <si>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</si>
  <si>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</si>
  <si>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</si>
  <si>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</si>
  <si>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</si>
  <si>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</si>
  <si>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</si>
  <si>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</si>
  <si>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</si>
  <si>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</si>
  <si>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</si>
  <si>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</si>
  <si>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</si>
  <si>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</si>
  <si>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</si>
  <si>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</si>
  <si>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</si>
  <si>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</si>
  <si>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</si>
  <si>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</si>
  <si>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</si>
  <si>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</si>
  <si>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</si>
  <si>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</si>
  <si>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</si>
  <si>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</si>
  <si>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</si>
  <si>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</si>
  <si>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</si>
  <si>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</si>
  <si>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</si>
  <si>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</si>
  <si>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</si>
  <si>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</si>
  <si>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</si>
  <si>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</si>
  <si>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</si>
  <si>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</si>
  <si>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</si>
  <si>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</si>
  <si>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</si>
  <si>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</si>
  <si>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</si>
  <si>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</si>
  <si>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</si>
  <si>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</si>
  <si>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</si>
  <si>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</si>
  <si>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</si>
  <si>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</si>
  <si>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</si>
  <si>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</si>
  <si>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</si>
  <si>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</si>
  <si>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</si>
  <si>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</si>
  <si>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</si>
  <si>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</si>
  <si>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</si>
  <si>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</si>
  <si>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</si>
  <si>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</si>
  <si>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</si>
  <si>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</si>
  <si>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</si>
  <si>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</si>
  <si>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</si>
  <si>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</si>
  <si>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</si>
  <si>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</si>
  <si>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</si>
  <si>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</si>
  <si>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</si>
  <si>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</si>
  <si>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</si>
  <si>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</si>
  <si>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</si>
  <si>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</si>
  <si>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</si>
  <si>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</si>
  <si>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</si>
  <si>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</si>
  <si>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</si>
  <si>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</si>
  <si>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</si>
  <si>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</si>
  <si>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</si>
  <si>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</si>
  <si>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</si>
  <si>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</si>
  <si>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</si>
  <si>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</si>
  <si>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</si>
  <si>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</si>
  <si>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</si>
  <si>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</si>
  <si>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</si>
  <si>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</si>
  <si>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</si>
  <si>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</si>
  <si>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</si>
  <si>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</si>
  <si>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</si>
  <si>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</si>
  <si>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</si>
  <si>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</si>
  <si>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</si>
  <si>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</si>
  <si>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</si>
  <si>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</si>
  <si>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</si>
  <si>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</si>
  <si>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</si>
  <si>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</si>
  <si>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</si>
  <si>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</si>
  <si>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</si>
  <si>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</si>
  <si>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</si>
  <si>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</si>
  <si>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</si>
  <si>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</si>
  <si>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</si>
  <si>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</si>
  <si>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</si>
  <si>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</si>
  <si>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</si>
  <si>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</si>
  <si>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</si>
  <si>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</si>
  <si>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</si>
  <si>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</si>
  <si>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</si>
  <si>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</si>
  <si>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</si>
  <si>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</si>
  <si>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</si>
  <si>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</si>
  <si>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</si>
  <si>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</si>
  <si>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</si>
  <si>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</si>
  <si>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</si>
  <si>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</si>
  <si>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</si>
  <si>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</si>
  <si>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</si>
  <si>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</si>
  <si>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</si>
  <si>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</si>
  <si>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</si>
  <si>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</si>
  <si>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</si>
  <si>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</si>
  <si>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</si>
  <si>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</si>
  <si>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</si>
  <si>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</si>
  <si>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</si>
  <si>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</si>
  <si>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</si>
  <si>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</si>
  <si>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</si>
  <si>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</si>
  <si>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</si>
  <si>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</si>
  <si>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</si>
  <si>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</si>
  <si>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</si>
  <si>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</si>
  <si>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</si>
  <si>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</si>
  <si>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</si>
  <si>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</si>
  <si>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</si>
  <si>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</si>
  <si>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</si>
  <si>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</si>
  <si>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</si>
  <si>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</si>
  <si>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</si>
  <si>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</si>
  <si>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</si>
  <si>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</si>
  <si>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</si>
  <si>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</si>
  <si>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</si>
  <si>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</si>
  <si>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</si>
  <si>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</si>
  <si>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</si>
  <si>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</si>
  <si>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</si>
  <si>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</si>
  <si>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</si>
  <si>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</si>
  <si>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</si>
  <si>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</si>
  <si>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</si>
  <si>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</si>
  <si>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</si>
  <si>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</si>
  <si>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</si>
  <si>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</si>
  <si>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</si>
  <si>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</si>
  <si>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</si>
  <si>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</si>
  <si>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</si>
  <si>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</si>
  <si>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</si>
  <si>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</si>
  <si>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</si>
  <si>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</si>
  <si>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</si>
  <si>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</si>
  <si>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</si>
  <si>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</si>
  <si>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</si>
  <si>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</si>
  <si>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</si>
  <si>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</si>
  <si>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</si>
  <si>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</si>
  <si>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</si>
  <si>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</si>
  <si>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</si>
  <si>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</si>
  <si>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</si>
  <si>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</si>
  <si>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</si>
  <si>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</si>
  <si>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</si>
  <si>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</si>
  <si>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</si>
  <si>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</si>
  <si>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</si>
  <si>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</si>
  <si>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</si>
  <si>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</si>
  <si>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</si>
  <si>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</si>
  <si>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</si>
  <si>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</si>
  <si>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</si>
  <si>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</si>
  <si>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</si>
  <si>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</si>
  <si>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</si>
  <si>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</si>
  <si>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</si>
  <si>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</si>
  <si>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</si>
  <si>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</si>
  <si>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</si>
  <si>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</si>
  <si>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</si>
  <si>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</si>
  <si>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</si>
  <si>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</si>
  <si>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</si>
  <si>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</si>
  <si>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</si>
  <si>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</si>
  <si>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</si>
  <si>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</si>
  <si>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</si>
  <si>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</si>
  <si>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</si>
  <si>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</si>
  <si>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</si>
  <si>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</si>
  <si>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</si>
  <si>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</si>
  <si>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</si>
  <si>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</si>
  <si>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</si>
  <si>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</si>
  <si>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</si>
  <si>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</si>
  <si>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</si>
  <si>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</si>
  <si>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</si>
  <si>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</si>
  <si>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</si>
  <si>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</si>
  <si>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</si>
  <si>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</si>
  <si>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</si>
  <si>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</si>
  <si>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</si>
  <si>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</si>
  <si>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</si>
  <si>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</si>
  <si>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</si>
  <si>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</si>
  <si>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</si>
  <si>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</si>
  <si>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</si>
  <si>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</si>
  <si>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</si>
  <si>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</si>
  <si>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</si>
  <si>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</si>
  <si>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</si>
  <si>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</si>
  <si>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</si>
  <si>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</si>
  <si>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</si>
  <si>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</si>
  <si>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</si>
  <si>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</si>
  <si>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</si>
  <si>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</si>
  <si>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</si>
  <si>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</si>
  <si>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</si>
  <si>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</si>
  <si>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</si>
  <si>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</si>
  <si>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</si>
  <si>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</si>
  <si>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</si>
  <si>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</si>
  <si>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</si>
  <si>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</si>
  <si>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</si>
  <si>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</si>
  <si>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</si>
  <si>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</si>
  <si>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</si>
  <si>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</si>
  <si>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</si>
  <si>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</si>
  <si>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</si>
  <si>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</si>
  <si>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</si>
  <si>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</si>
  <si>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</si>
  <si>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</si>
  <si>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</si>
  <si>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</si>
  <si>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</si>
  <si>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</si>
  <si>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</si>
  <si>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</si>
  <si>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</si>
  <si>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</si>
  <si>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</si>
  <si>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</si>
  <si>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</si>
  <si>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</si>
  <si>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</si>
  <si>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</si>
  <si>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</si>
  <si>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</si>
  <si>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</si>
  <si>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</si>
  <si>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</si>
  <si>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</si>
  <si>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</si>
  <si>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</si>
  <si>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</si>
  <si>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</si>
  <si>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</si>
  <si>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</si>
  <si>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</si>
  <si>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</si>
  <si>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</si>
  <si>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</si>
  <si>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</si>
  <si>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</si>
  <si>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</si>
  <si>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</si>
  <si>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</si>
  <si>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</si>
  <si>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</si>
  <si>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</si>
  <si>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</si>
  <si>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</si>
  <si>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</si>
  <si>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</si>
  <si>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</si>
  <si>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</si>
  <si>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</si>
  <si>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</si>
  <si>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</si>
  <si>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</si>
  <si>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</si>
  <si>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</si>
  <si>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</si>
  <si>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</si>
  <si>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</si>
  <si>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</si>
  <si>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</si>
  <si>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</si>
  <si>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</si>
  <si>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</si>
  <si>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</si>
  <si>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</si>
  <si>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</si>
  <si>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</si>
  <si>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</si>
  <si>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</si>
  <si>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</si>
  <si>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</si>
  <si>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</si>
  <si>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</si>
  <si>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</si>
  <si>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</si>
  <si>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</si>
  <si>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</si>
  <si>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</si>
  <si>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</si>
  <si>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</si>
  <si>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</si>
  <si>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</si>
  <si>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</si>
  <si>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</si>
  <si>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</si>
  <si>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</si>
  <si>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</si>
  <si>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</si>
  <si>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</si>
  <si>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</si>
  <si>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</si>
  <si>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</si>
  <si>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</si>
  <si>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</si>
  <si>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</si>
  <si>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</si>
  <si>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</si>
  <si>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</si>
  <si>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</si>
  <si>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</si>
  <si>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</si>
  <si>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</si>
  <si>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</si>
  <si>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</si>
  <si>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</si>
  <si>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</si>
  <si>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</si>
  <si>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</si>
  <si>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</si>
  <si>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</si>
  <si>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</si>
  <si>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</si>
  <si>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</si>
  <si>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</si>
  <si>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</si>
  <si>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</si>
  <si>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</si>
  <si>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</si>
  <si>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</si>
  <si>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</si>
  <si>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</si>
  <si>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</si>
  <si>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</si>
  <si>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</si>
  <si>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</si>
  <si>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</si>
  <si>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</si>
  <si>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</si>
  <si>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</si>
  <si>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</si>
  <si>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</si>
  <si>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</si>
  <si>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</si>
  <si>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</si>
  <si>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</si>
  <si>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</si>
  <si>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</si>
  <si>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</si>
  <si>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</si>
  <si>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</si>
  <si>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</si>
  <si>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</si>
  <si>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</si>
  <si>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</si>
  <si>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</si>
  <si>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</si>
  <si>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</si>
  <si>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</si>
  <si>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</si>
  <si>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</si>
  <si>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</si>
  <si>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</si>
  <si>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</si>
  <si>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</si>
  <si>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</si>
  <si>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</si>
  <si>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</si>
  <si>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</si>
  <si>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</si>
  <si>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</si>
  <si>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</si>
  <si>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</si>
  <si>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</si>
  <si>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</si>
  <si>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</si>
  <si>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</si>
  <si>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</si>
  <si>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</si>
  <si>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</si>
  <si>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</si>
  <si>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</si>
  <si>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</si>
  <si>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</si>
  <si>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</si>
  <si>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</si>
  <si>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</si>
  <si>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</si>
  <si>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</si>
  <si>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</si>
  <si>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</si>
  <si>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</si>
  <si>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</si>
  <si>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</si>
  <si>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</si>
  <si>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</si>
  <si>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</si>
  <si>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</si>
  <si>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</si>
  <si>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</si>
  <si>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</si>
  <si>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</si>
  <si>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</si>
  <si>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</si>
  <si>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</si>
  <si>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</si>
  <si>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</si>
  <si>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</si>
  <si>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</si>
  <si>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</si>
  <si>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</si>
  <si>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</si>
  <si>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</si>
  <si>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</si>
  <si>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</si>
  <si>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</si>
  <si>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</si>
  <si>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</si>
  <si>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</si>
  <si>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</si>
  <si>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</si>
  <si>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</si>
  <si>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</si>
  <si>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</si>
  <si>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</si>
  <si>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</si>
  <si>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</si>
  <si>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</si>
  <si>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</si>
  <si>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</si>
  <si>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</si>
  <si>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</si>
  <si>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</si>
  <si>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</si>
  <si>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</si>
  <si>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</si>
  <si>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</si>
  <si>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</si>
  <si>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</si>
  <si>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</si>
  <si>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</si>
  <si>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</si>
  <si>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</si>
  <si>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</si>
  <si>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</si>
  <si>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</si>
  <si>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</si>
  <si>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</si>
  <si>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</si>
  <si>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</si>
  <si>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</si>
  <si>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</si>
  <si>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</si>
  <si>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</si>
  <si>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</si>
  <si>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</si>
  <si>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</si>
  <si>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</si>
  <si>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</si>
  <si>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</si>
  <si>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</si>
  <si>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</si>
  <si>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</si>
  <si>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</si>
  <si>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</si>
  <si>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</si>
  <si>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</si>
  <si>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</si>
  <si>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</si>
  <si>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</si>
  <si>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</si>
  <si>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</si>
  <si>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</si>
  <si>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</si>
  <si>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</si>
  <si>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</si>
  <si>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</si>
  <si>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</si>
  <si>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</si>
  <si>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</si>
  <si>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</si>
  <si>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</si>
  <si>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</si>
  <si>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</si>
  <si>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</si>
  <si>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</si>
  <si>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</si>
  <si>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</si>
  <si>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</si>
  <si>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</si>
  <si>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</si>
  <si>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</si>
  <si>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</si>
  <si>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</si>
  <si>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</si>
  <si>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</si>
  <si>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</si>
  <si>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</si>
  <si>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</si>
  <si>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</si>
  <si>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</si>
  <si>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</si>
  <si>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</si>
  <si>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</si>
  <si>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</si>
  <si>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</si>
  <si>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</si>
  <si>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</si>
  <si>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</si>
  <si>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</si>
  <si>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</si>
  <si>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</si>
  <si>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</si>
  <si>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</si>
  <si>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</si>
  <si>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</si>
  <si>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</si>
  <si>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</si>
  <si>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</si>
  <si>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</si>
  <si>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</si>
  <si>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</si>
  <si>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</si>
  <si>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</si>
  <si>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</si>
  <si>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</si>
  <si>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</si>
  <si>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</si>
  <si>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</si>
  <si>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</si>
  <si>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</si>
  <si>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</si>
  <si>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</si>
  <si>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</si>
  <si>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</si>
  <si>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</si>
  <si>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</si>
  <si>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</si>
  <si>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</si>
  <si>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</si>
  <si>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</si>
  <si>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</si>
  <si>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</si>
  <si>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</si>
  <si>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</si>
  <si>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</si>
  <si>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</si>
  <si>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</si>
  <si>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</si>
  <si>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</si>
  <si>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</si>
  <si>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</si>
  <si>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</si>
  <si>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</si>
  <si>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</si>
  <si>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</si>
  <si>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</si>
  <si>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</si>
  <si>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</si>
  <si>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</si>
  <si>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</si>
  <si>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</si>
  <si>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</si>
  <si>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</si>
  <si>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</si>
  <si>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</si>
  <si>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</si>
  <si>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</si>
  <si>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</si>
  <si>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</si>
  <si>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</si>
  <si>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</si>
  <si>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</si>
  <si>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</si>
  <si>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</si>
  <si>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</si>
  <si>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</si>
  <si>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</si>
  <si>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</si>
  <si>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</si>
  <si>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</si>
  <si>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</si>
  <si>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</si>
  <si>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</si>
  <si>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</si>
  <si>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</si>
  <si>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</si>
  <si>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</si>
  <si>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</si>
  <si>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</si>
  <si>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</si>
  <si>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</si>
  <si>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</si>
  <si>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</si>
  <si>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</si>
  <si>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</si>
  <si>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</si>
  <si>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</si>
  <si>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</si>
  <si>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</si>
  <si>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</si>
  <si>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</si>
  <si>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</si>
  <si>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</si>
  <si>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</si>
  <si>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</si>
  <si>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</si>
  <si>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</si>
  <si>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</si>
  <si>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</si>
  <si>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</si>
  <si>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</si>
  <si>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</si>
  <si>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</si>
  <si>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</si>
  <si>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</si>
  <si>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</si>
  <si>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</si>
  <si>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</si>
  <si>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</si>
  <si>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</si>
  <si>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</si>
  <si>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</si>
  <si>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</si>
  <si>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</si>
  <si>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</si>
  <si>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</si>
  <si>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</si>
  <si>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</si>
  <si>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</si>
  <si>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</si>
  <si>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</si>
  <si>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</si>
  <si>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</si>
  <si>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</si>
  <si>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</si>
  <si>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</si>
  <si>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</si>
  <si>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</si>
  <si>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</si>
  <si>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</si>
  <si>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</si>
  <si>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</si>
  <si>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</si>
  <si>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</si>
  <si>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</si>
  <si>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</si>
  <si>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</si>
  <si>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</si>
  <si>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</si>
  <si>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</si>
  <si>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</si>
  <si>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</si>
  <si>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</si>
  <si>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</si>
  <si>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</si>
  <si>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</si>
  <si>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</si>
  <si>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</si>
  <si>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</si>
  <si>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</si>
  <si>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</si>
  <si>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</si>
  <si>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</si>
  <si>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</si>
  <si>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</si>
  <si>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</si>
  <si>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</si>
  <si>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</si>
  <si>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</si>
  <si>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</si>
  <si>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</si>
  <si>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</si>
  <si>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</si>
  <si>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</si>
  <si>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</si>
  <si>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</si>
  <si>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</si>
  <si>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</si>
  <si>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</si>
  <si>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</si>
  <si>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</si>
  <si>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</si>
  <si>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</si>
  <si>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</si>
  <si>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</si>
  <si>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</si>
  <si>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</si>
  <si>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</si>
  <si>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</si>
  <si>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</si>
  <si>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</si>
  <si>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</si>
  <si>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</si>
  <si>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</si>
  <si>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</si>
  <si>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</si>
  <si>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</si>
  <si>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</si>
  <si>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</si>
  <si>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</si>
  <si>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</si>
  <si>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</si>
  <si>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</si>
  <si>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</si>
  <si>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</si>
  <si>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</si>
  <si>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</si>
  <si>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</si>
  <si>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</si>
  <si>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</si>
  <si>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</si>
  <si>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</si>
  <si>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</si>
  <si>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</si>
  <si>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</si>
  <si>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</si>
  <si>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</si>
  <si>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</si>
  <si>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</si>
  <si>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</si>
  <si>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</si>
  <si>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</si>
  <si>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</si>
  <si>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</si>
  <si>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</si>
  <si>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</si>
  <si>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</si>
  <si>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</si>
  <si>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</si>
  <si>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</si>
  <si>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</si>
  <si>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</si>
  <si>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</si>
  <si>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</si>
  <si>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</si>
  <si>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</si>
  <si>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</si>
  <si>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</si>
  <si>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</si>
  <si>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</si>
  <si>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</si>
  <si>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</si>
  <si>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</si>
  <si>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</si>
  <si>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</si>
  <si>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</si>
  <si>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</si>
  <si>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</si>
  <si>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</si>
  <si>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</si>
  <si>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</si>
  <si>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</si>
  <si>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</si>
  <si>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</si>
  <si>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</si>
  <si>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</si>
  <si>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</si>
  <si>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</si>
  <si>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</si>
  <si>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</si>
  <si>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</si>
  <si>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</si>
  <si>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</si>
  <si>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</si>
  <si>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</si>
  <si>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</si>
  <si>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</si>
  <si>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</si>
  <si>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</si>
  <si>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</si>
  <si>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</si>
  <si>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</si>
  <si>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</si>
  <si>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</si>
  <si>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</si>
  <si>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</si>
  <si>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</si>
  <si>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</si>
  <si>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</si>
  <si>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</si>
  <si>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</si>
  <si>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</si>
  <si>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</si>
  <si>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</si>
  <si>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</si>
  <si>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</si>
  <si>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</si>
  <si>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</si>
  <si>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</si>
  <si>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</si>
  <si>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</si>
  <si>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</si>
  <si>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</si>
  <si>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</si>
  <si>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</si>
  <si>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</si>
  <si>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</si>
  <si>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</si>
  <si>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</si>
  <si>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</si>
  <si>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</si>
  <si>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</si>
  <si>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</si>
  <si>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</si>
  <si>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</si>
  <si>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</si>
  <si>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</si>
  <si>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</si>
  <si>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</si>
  <si>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</si>
  <si>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</si>
  <si>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</si>
  <si>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</si>
  <si>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</si>
  <si>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</si>
  <si>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</si>
  <si>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</si>
  <si>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</si>
  <si>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</si>
  <si>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</si>
  <si>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</si>
  <si>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</si>
  <si>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</si>
  <si>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</si>
  <si>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</si>
  <si>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</si>
  <si>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</si>
  <si>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</si>
  <si>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</si>
  <si>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</si>
  <si>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</si>
  <si>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</si>
  <si>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</si>
  <si>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</si>
  <si>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</si>
  <si>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</si>
  <si>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</si>
  <si>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</si>
  <si>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</si>
  <si>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</si>
  <si>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</si>
  <si>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</si>
  <si>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</si>
  <si>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</si>
  <si>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</si>
  <si>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</si>
  <si>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</si>
  <si>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</si>
  <si>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</si>
  <si>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</si>
  <si>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</si>
  <si>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</si>
  <si>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</si>
  <si>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</si>
  <si>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</si>
  <si>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</si>
  <si>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</si>
  <si>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</si>
  <si>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</si>
  <si>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</si>
  <si>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</si>
  <si>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</si>
  <si>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</si>
  <si>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</si>
  <si>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</si>
  <si>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</si>
  <si>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</si>
  <si>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</si>
  <si>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</si>
  <si>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</si>
  <si>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</si>
  <si>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</si>
  <si>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</si>
  <si>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</si>
  <si>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</si>
  <si>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</si>
  <si>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</si>
  <si>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</si>
  <si>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</si>
  <si>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</si>
  <si>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</si>
  <si>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</si>
  <si>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</si>
  <si>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</si>
  <si>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</si>
  <si>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</si>
  <si>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</si>
  <si>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</si>
  <si>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</si>
  <si>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</si>
  <si>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</si>
  <si>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</si>
  <si>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</si>
  <si>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</si>
  <si>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</si>
  <si>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</si>
  <si>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</si>
  <si>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</si>
  <si>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</si>
  <si>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</si>
  <si>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</si>
  <si>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</si>
  <si>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</si>
  <si>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</si>
  <si>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</si>
  <si>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</si>
  <si>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</si>
  <si>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</si>
  <si>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</si>
  <si>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</si>
  <si>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</si>
  <si>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</si>
  <si>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</si>
  <si>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</si>
  <si>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</si>
  <si>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</si>
  <si>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</si>
  <si>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</si>
  <si>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</si>
  <si>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</si>
  <si>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</si>
  <si>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</si>
  <si>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</si>
  <si>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</si>
  <si>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</si>
  <si>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</si>
  <si>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</si>
  <si>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</si>
  <si>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</si>
  <si>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</si>
  <si>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</si>
  <si>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</si>
  <si>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</si>
  <si>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</si>
  <si>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</si>
  <si>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</si>
  <si>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</si>
  <si>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</si>
  <si>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</si>
  <si>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</si>
  <si>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</si>
  <si>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</si>
  <si>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</si>
  <si>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</si>
  <si>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</si>
  <si>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</si>
  <si>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</si>
  <si>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</si>
  <si>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</si>
  <si>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</si>
  <si>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</si>
  <si>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</si>
  <si>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</si>
  <si>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</si>
  <si>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</si>
  <si>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</si>
  <si>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</si>
  <si>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</si>
  <si>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</si>
  <si>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</si>
  <si>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</si>
  <si>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</si>
  <si>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</si>
  <si>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</si>
  <si>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</si>
  <si>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</si>
  <si>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</si>
  <si>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</si>
  <si>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</si>
  <si>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</si>
  <si>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</si>
  <si>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</si>
  <si>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</si>
  <si>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</si>
  <si>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</si>
  <si>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</si>
  <si>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</si>
  <si>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</si>
  <si>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</si>
  <si>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</si>
  <si>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</si>
  <si>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</si>
  <si>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</si>
  <si>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</si>
  <si>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</si>
  <si>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</si>
  <si>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</si>
  <si>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</si>
  <si>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</si>
  <si>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</si>
  <si>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</si>
  <si>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</si>
  <si>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</si>
  <si>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</si>
  <si>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</si>
  <si>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</si>
  <si>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</si>
  <si>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</si>
  <si>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</si>
  <si>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</si>
  <si>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</si>
  <si>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</si>
  <si>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</si>
  <si>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</si>
  <si>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</si>
  <si>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</si>
  <si>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</si>
  <si>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</si>
  <si>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</si>
  <si>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</si>
  <si>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</si>
  <si>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</si>
  <si>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</si>
  <si>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</si>
  <si>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</si>
  <si>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</si>
  <si>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</si>
  <si>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</si>
  <si>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</si>
  <si>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</si>
  <si>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</si>
  <si>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</si>
  <si>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</si>
  <si>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</si>
  <si>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</si>
  <si>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</si>
  <si>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</si>
  <si>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</si>
  <si>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</si>
  <si>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</si>
  <si>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</si>
  <si>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</si>
  <si>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</si>
  <si>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</si>
  <si>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</si>
  <si>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</si>
  <si>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</si>
  <si>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</si>
  <si>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</si>
  <si>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</si>
  <si>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</si>
  <si>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</si>
  <si>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</si>
  <si>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</si>
  <si>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</si>
  <si>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</si>
  <si>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</si>
  <si>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</si>
  <si>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</si>
  <si>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</si>
  <si>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</si>
  <si>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</si>
  <si>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</si>
  <si>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</si>
  <si>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</si>
  <si>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</si>
  <si>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</si>
  <si>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</si>
  <si>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</si>
  <si>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</si>
  <si>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</si>
  <si>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</si>
  <si>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</si>
  <si>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</si>
  <si>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</si>
  <si>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</si>
  <si>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</si>
  <si>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</si>
  <si>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</si>
  <si>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</si>
  <si>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</si>
  <si>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</si>
  <si>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</si>
  <si>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</si>
  <si>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</si>
  <si>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</si>
  <si>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</si>
  <si>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</si>
  <si>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</si>
  <si>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</si>
  <si>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</si>
  <si>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</si>
  <si>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</si>
  <si>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</si>
  <si>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</si>
  <si>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</si>
  <si>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</si>
  <si>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</si>
  <si>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</si>
  <si>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</si>
  <si>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</si>
  <si>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</si>
  <si>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</si>
  <si>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</si>
  <si>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</si>
  <si>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</si>
  <si>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</si>
  <si>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</si>
  <si>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</si>
  <si>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</si>
  <si>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</si>
  <si>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</si>
  <si>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</si>
  <si>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</si>
  <si>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</si>
  <si>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</si>
  <si>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</si>
  <si>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</si>
  <si>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</si>
  <si>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</si>
  <si>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</si>
  <si>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</si>
  <si>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</si>
  <si>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</si>
  <si>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</si>
  <si>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</si>
  <si>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</si>
  <si>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</si>
  <si>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</si>
  <si>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</si>
  <si>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</si>
  <si>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</si>
  <si>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</si>
  <si>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</si>
  <si>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</si>
  <si>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</si>
  <si>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</si>
  <si>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</si>
  <si>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</si>
  <si>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</si>
  <si>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</si>
  <si>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</si>
  <si>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</si>
  <si>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</si>
  <si>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</si>
  <si>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</si>
  <si>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</si>
  <si>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</si>
  <si>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</si>
  <si>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</si>
  <si>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</si>
  <si>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</si>
  <si>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</si>
  <si>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</si>
  <si>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</si>
  <si>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</si>
  <si>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</si>
  <si>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</si>
  <si>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</si>
  <si>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</si>
  <si>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</si>
  <si>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</si>
  <si>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</si>
  <si>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</si>
  <si>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</si>
  <si>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</si>
  <si>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</si>
  <si>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</si>
  <si>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</si>
  <si>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</si>
  <si>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</si>
  <si>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</si>
  <si>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</si>
  <si>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</si>
  <si>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</si>
  <si>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</si>
  <si>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</si>
  <si>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</si>
  <si>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</si>
  <si>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</si>
  <si>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</si>
  <si>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</si>
  <si>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</si>
  <si>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</si>
  <si>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</si>
  <si>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</si>
  <si>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</si>
  <si>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</si>
  <si>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</si>
  <si>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</si>
  <si>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</si>
  <si>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</si>
  <si>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</si>
  <si>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</si>
  <si>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</si>
  <si>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</si>
  <si>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</si>
  <si>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</si>
  <si>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</si>
  <si>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</si>
  <si>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</si>
  <si>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</si>
  <si>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</si>
  <si>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</si>
  <si>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</si>
  <si>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</si>
  <si>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</si>
  <si>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</si>
  <si>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</si>
  <si>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</si>
  <si>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</si>
  <si>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</si>
  <si>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</si>
  <si>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</si>
  <si>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</si>
  <si>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</si>
  <si>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</si>
  <si>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</si>
  <si>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</si>
  <si>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</si>
  <si>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</si>
  <si>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</si>
  <si>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</si>
  <si>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</si>
  <si>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</si>
  <si>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</si>
  <si>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</si>
  <si>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</si>
  <si>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</si>
  <si>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</si>
  <si>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</si>
  <si>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</si>
  <si>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</si>
  <si>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</si>
  <si>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</si>
  <si>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</si>
  <si>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</si>
  <si>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</si>
  <si>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</si>
  <si>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</si>
  <si>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</si>
  <si>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</si>
  <si>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</si>
  <si>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</si>
  <si>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</si>
  <si>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</si>
  <si>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</si>
  <si>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</si>
  <si>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</si>
  <si>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</si>
  <si>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</si>
  <si>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</si>
  <si>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</si>
  <si>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</si>
  <si>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</si>
  <si>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</si>
  <si>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</si>
  <si>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</si>
  <si>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</si>
  <si>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</si>
  <si>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</si>
  <si>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</si>
  <si>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</si>
  <si>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</si>
  <si>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</si>
  <si>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</si>
  <si>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</si>
  <si>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</si>
  <si>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</si>
  <si>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</si>
  <si>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</si>
  <si>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</si>
  <si>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</si>
  <si>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</si>
  <si>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</si>
  <si>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</si>
  <si>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</si>
  <si>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</si>
  <si>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</si>
  <si>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</si>
  <si>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</si>
  <si>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</si>
  <si>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</si>
  <si>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</si>
  <si>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</si>
  <si>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</si>
  <si>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</si>
  <si>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</si>
  <si>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</si>
  <si>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</si>
  <si>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</si>
  <si>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</si>
  <si>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</si>
  <si>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</si>
  <si>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</si>
  <si>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</si>
  <si>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</si>
  <si>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</si>
  <si>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</si>
  <si>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</si>
  <si>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</si>
  <si>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</si>
  <si>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</si>
  <si>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</si>
  <si>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</si>
  <si>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</si>
  <si>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</si>
  <si>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</si>
  <si>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</si>
  <si>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</si>
  <si>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</si>
  <si>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</si>
  <si>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</si>
  <si>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</si>
  <si>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</si>
  <si>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</si>
  <si>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</si>
  <si>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</si>
  <si>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</si>
  <si>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</si>
  <si>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</si>
  <si>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</si>
  <si>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</si>
  <si>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</si>
  <si>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</si>
  <si>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</si>
  <si>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</si>
  <si>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</si>
  <si>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</si>
  <si>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</si>
  <si>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</si>
  <si>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</si>
  <si>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</si>
  <si>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</si>
  <si>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</si>
  <si>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</si>
  <si>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</si>
  <si>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</si>
  <si>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</si>
  <si>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</si>
  <si>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</si>
  <si>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</si>
  <si>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</si>
  <si>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</si>
  <si>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</si>
  <si>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</si>
  <si>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</si>
  <si>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</si>
  <si>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</si>
  <si>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</si>
  <si>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</si>
  <si>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</si>
  <si>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</si>
  <si>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</si>
  <si>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</si>
  <si>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</si>
  <si>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</si>
  <si>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</si>
  <si>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</si>
  <si>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</si>
  <si>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</si>
  <si>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</si>
  <si>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</si>
  <si>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</si>
  <si>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</si>
  <si>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</si>
  <si>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</si>
  <si>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</si>
  <si>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</si>
  <si>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</si>
  <si>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</si>
  <si>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</si>
  <si>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</si>
  <si>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</si>
  <si>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</si>
  <si>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</si>
  <si>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</si>
  <si>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</si>
  <si>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</si>
  <si>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</si>
  <si>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</si>
  <si>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</si>
  <si>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</si>
  <si>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</si>
  <si>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</si>
  <si>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</si>
  <si>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</si>
  <si>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</si>
  <si>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</si>
  <si>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</si>
  <si>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</si>
  <si>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</si>
  <si>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</si>
  <si>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</si>
  <si>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</si>
  <si>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</si>
  <si>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</si>
  <si>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</si>
  <si>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</si>
  <si>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</si>
  <si>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</si>
  <si>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</si>
  <si>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</si>
  <si>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</si>
  <si>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</si>
  <si>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</si>
  <si>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</si>
  <si>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</si>
  <si>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</si>
  <si>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</si>
  <si>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</si>
  <si>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</si>
  <si>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</si>
  <si>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</si>
  <si>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</si>
  <si>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</si>
  <si>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</si>
  <si>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</si>
  <si>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</si>
  <si>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</si>
  <si>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</si>
  <si>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</si>
  <si>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</si>
  <si>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</si>
  <si>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</si>
  <si>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</si>
  <si>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</si>
  <si>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</si>
  <si>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</si>
  <si>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</si>
  <si>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</si>
  <si>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</si>
  <si>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</si>
  <si>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</si>
  <si>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</si>
  <si>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</si>
  <si>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</si>
  <si>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</si>
  <si>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</si>
  <si>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</si>
  <si>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</si>
  <si>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</si>
  <si>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</si>
  <si>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</si>
  <si>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</si>
  <si>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</si>
  <si>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</si>
  <si>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</si>
  <si>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</si>
  <si>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</si>
  <si>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</si>
  <si>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</si>
  <si>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</si>
  <si>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</si>
  <si>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</si>
  <si>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</si>
  <si>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</si>
  <si>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</si>
  <si>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</si>
  <si>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</si>
  <si>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</si>
  <si>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</si>
  <si>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</si>
  <si>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</si>
  <si>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</si>
  <si>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</si>
  <si>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</si>
  <si>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</si>
  <si>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</si>
  <si>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</si>
  <si>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</si>
  <si>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</si>
  <si>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</si>
  <si>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</si>
  <si>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</si>
  <si>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</si>
  <si>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</si>
  <si>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</si>
  <si>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</si>
  <si>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</si>
  <si>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</si>
  <si>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</si>
  <si>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</si>
  <si>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</si>
  <si>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</si>
  <si>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</si>
  <si>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</si>
  <si>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</si>
  <si>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</si>
  <si>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</si>
  <si>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</si>
  <si>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</si>
  <si>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</si>
  <si>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</si>
  <si>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</si>
  <si>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</si>
  <si>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</si>
  <si>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</si>
  <si>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</si>
  <si>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</si>
  <si>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</si>
  <si>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</si>
  <si>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</si>
  <si>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</si>
  <si>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</si>
  <si>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</si>
  <si>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</si>
  <si>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</si>
  <si>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</si>
  <si>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</si>
  <si>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</si>
  <si>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</si>
  <si>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</si>
  <si>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</si>
  <si>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</si>
  <si>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</si>
  <si>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</si>
  <si>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</si>
  <si>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</si>
  <si>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</si>
  <si>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</si>
  <si>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</si>
  <si>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</si>
  <si>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</si>
  <si>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</si>
  <si>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</si>
  <si>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</si>
  <si>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</si>
  <si>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</si>
  <si>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</si>
  <si>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</si>
  <si>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</si>
  <si>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</si>
  <si>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</si>
  <si>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</si>
  <si>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</si>
  <si>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</si>
  <si>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</si>
  <si>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</si>
  <si>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</si>
  <si>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</si>
  <si>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</si>
  <si>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</si>
  <si>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</si>
  <si>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</si>
  <si>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</si>
  <si>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</si>
  <si>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</si>
  <si>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</si>
  <si>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</si>
  <si>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</si>
  <si>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</si>
  <si>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</si>
  <si>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</si>
  <si>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</si>
  <si>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</si>
  <si>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</si>
  <si>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</si>
  <si>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</si>
  <si>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</si>
  <si>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</si>
  <si>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</si>
  <si>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</si>
  <si>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</si>
  <si>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</si>
  <si>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</si>
  <si>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</si>
  <si>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</si>
  <si>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</si>
  <si>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</si>
  <si>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</si>
  <si>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</si>
  <si>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</si>
  <si>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</si>
  <si>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</si>
  <si>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</si>
  <si>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</si>
  <si>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</si>
  <si>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</si>
  <si>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</si>
  <si>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</si>
  <si>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</si>
  <si>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</si>
  <si>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</si>
  <si>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</si>
  <si>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</si>
  <si>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</si>
  <si>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</si>
  <si>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</si>
  <si>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</si>
  <si>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</si>
  <si>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</si>
  <si>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</si>
  <si>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</si>
  <si>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</si>
  <si>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</si>
  <si>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</si>
  <si>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</si>
  <si>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</si>
  <si>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</si>
  <si>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</si>
  <si>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</si>
  <si>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</si>
  <si>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</si>
  <si>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</si>
  <si>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</si>
  <si>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</si>
  <si>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</si>
  <si>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</si>
  <si>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</si>
  <si>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</si>
  <si>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</si>
  <si>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</si>
  <si>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</si>
  <si>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</si>
  <si>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</si>
  <si>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</si>
  <si>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</si>
  <si>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</si>
  <si>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</si>
  <si>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</si>
  <si>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</si>
  <si>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</si>
  <si>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</si>
  <si>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</si>
  <si>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</si>
  <si>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</si>
  <si>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</si>
  <si>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</si>
  <si>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</si>
  <si>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</si>
  <si>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</si>
  <si>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</si>
  <si>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</si>
  <si>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</si>
  <si>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</si>
  <si>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</si>
  <si>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</si>
  <si>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</si>
  <si>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</si>
  <si>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</si>
  <si>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</si>
  <si>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</si>
  <si>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</si>
  <si>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</si>
  <si>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</si>
  <si>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</si>
  <si>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</si>
  <si>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</si>
  <si>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</si>
  <si>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</si>
  <si>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</si>
  <si>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</si>
  <si>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</si>
  <si>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</si>
  <si>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</si>
  <si>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</si>
  <si>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</si>
  <si>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</si>
  <si>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</si>
  <si>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</si>
  <si>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</si>
  <si>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</si>
  <si>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</si>
  <si>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</si>
  <si>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</si>
  <si>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</si>
  <si>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</si>
  <si>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</si>
  <si>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</si>
  <si>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</si>
  <si>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</si>
  <si>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</si>
  <si>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</si>
  <si>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</si>
  <si>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</si>
  <si>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</si>
  <si>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</si>
  <si>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</si>
  <si>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</si>
  <si>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</si>
  <si>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</si>
  <si>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</si>
  <si>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</si>
  <si>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</si>
  <si>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</si>
  <si>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</si>
  <si>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</si>
  <si>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</si>
  <si>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</si>
  <si>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</si>
  <si>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</si>
  <si>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</si>
  <si>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</si>
  <si>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</si>
  <si>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</si>
  <si>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</si>
  <si>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</si>
  <si>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</si>
  <si>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</si>
  <si>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</si>
  <si>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</si>
  <si>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</si>
  <si>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</si>
  <si>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</si>
  <si>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</si>
  <si>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</si>
  <si>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</si>
  <si>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</si>
  <si>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</si>
  <si>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</si>
  <si>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</si>
  <si>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</si>
  <si>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</si>
  <si>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</si>
  <si>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</si>
  <si>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</si>
  <si>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</si>
  <si>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</si>
  <si>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</si>
  <si>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</si>
  <si>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</si>
  <si>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</si>
  <si>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</si>
  <si>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</si>
  <si>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</si>
  <si>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</si>
  <si>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</si>
  <si>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</si>
  <si>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</si>
  <si>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</si>
  <si>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</si>
  <si>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</si>
  <si>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</si>
  <si>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</si>
  <si>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</si>
  <si>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</si>
  <si>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</si>
  <si>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</si>
  <si>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</si>
  <si>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</si>
  <si>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</si>
  <si>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</si>
  <si>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</si>
  <si>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</si>
  <si>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</si>
  <si>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</si>
  <si>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</si>
  <si>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</si>
  <si>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</si>
  <si>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</si>
  <si>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</si>
  <si>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</si>
  <si>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</si>
  <si>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</si>
  <si>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</si>
  <si>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</si>
  <si>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</si>
  <si>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</si>
  <si>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</si>
  <si>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</si>
  <si>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</si>
  <si>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</si>
  <si>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</si>
  <si>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</si>
  <si>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</si>
  <si>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</si>
  <si>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</si>
  <si>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</si>
  <si>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</si>
  <si>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</si>
  <si>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</si>
  <si>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</si>
  <si>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</si>
  <si>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</si>
  <si>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</si>
  <si>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</si>
  <si>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</si>
  <si>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</si>
  <si>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</si>
  <si>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</si>
  <si>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</si>
  <si>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</si>
  <si>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</si>
  <si>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</si>
  <si>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</si>
  <si>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</si>
  <si>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</si>
  <si>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</si>
  <si>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</si>
  <si>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</si>
  <si>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</si>
  <si>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</si>
  <si>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</si>
  <si>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</si>
  <si>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</si>
  <si>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</si>
  <si>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</si>
  <si>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</si>
  <si>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</si>
  <si>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</si>
  <si>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</si>
  <si>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</si>
  <si>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</si>
  <si>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</si>
  <si>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</si>
  <si>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</si>
  <si>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</si>
  <si>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</si>
  <si>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</si>
  <si>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</si>
  <si>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</si>
  <si>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</si>
  <si>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</si>
  <si>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</si>
  <si>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</si>
  <si>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</si>
  <si>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</si>
  <si>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</si>
  <si>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</si>
  <si>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</si>
  <si>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</si>
  <si>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</si>
  <si>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</si>
  <si>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</si>
  <si>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</si>
  <si>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</si>
  <si>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</si>
  <si>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</si>
  <si>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</si>
  <si>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</si>
  <si>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</si>
  <si>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</si>
  <si>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</si>
  <si>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</si>
  <si>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</si>
  <si>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</si>
  <si>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</si>
  <si>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</si>
  <si>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</si>
  <si>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</si>
  <si>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</si>
  <si>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</si>
  <si>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</si>
  <si>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</si>
  <si>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</si>
  <si>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</si>
  <si>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</si>
  <si>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</si>
  <si>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</si>
  <si>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</si>
  <si>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</si>
  <si>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</si>
  <si>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</si>
  <si>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</si>
  <si>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</si>
  <si>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</si>
  <si>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</si>
  <si>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</si>
  <si>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</si>
  <si>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</si>
  <si>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</si>
  <si>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</si>
  <si>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</si>
  <si>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</si>
  <si>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</si>
  <si>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</si>
  <si>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</si>
  <si>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</si>
  <si>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</si>
  <si>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</si>
  <si>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</si>
  <si>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</si>
  <si>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</si>
  <si>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</si>
  <si>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</si>
  <si>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</si>
  <si>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</si>
  <si>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</si>
  <si>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</si>
  <si>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</si>
  <si>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</si>
  <si>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</si>
  <si>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</si>
  <si>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</si>
  <si>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</si>
  <si>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</si>
  <si>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</si>
  <si>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</si>
  <si>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</si>
  <si>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</si>
  <si>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</si>
  <si>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</si>
  <si>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</si>
  <si>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</si>
  <si>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</si>
  <si>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</si>
  <si>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</si>
  <si>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</si>
  <si>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</si>
  <si>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</si>
  <si>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</si>
  <si>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</si>
  <si>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</si>
  <si>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</si>
  <si>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</si>
  <si>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</si>
  <si>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</si>
  <si>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</si>
  <si>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</si>
  <si>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</si>
  <si>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</si>
  <si>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</si>
  <si>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</si>
  <si>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</si>
  <si>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</si>
  <si>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</si>
  <si>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</si>
  <si>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</si>
  <si>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</si>
  <si>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</si>
  <si>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</si>
  <si>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</si>
  <si>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</si>
  <si>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</si>
  <si>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</si>
  <si>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</si>
  <si>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</si>
  <si>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</si>
  <si>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</si>
  <si>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</si>
  <si>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</si>
  <si>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</si>
  <si>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核定资产</t>
  </si>
  <si>
    <t>房地产市场价值</t>
  </si>
  <si>
    <t>其他：</t>
  </si>
  <si>
    <t>企业</t>
  </si>
  <si>
    <t>h</t>
    <phoneticPr fontId="18" type="noConversion"/>
  </si>
  <si>
    <t>是</t>
  </si>
  <si>
    <t>地下</t>
  </si>
  <si>
    <t>车位</t>
  </si>
  <si>
    <t>车位</t>
    <phoneticPr fontId="7" type="noConversion"/>
  </si>
  <si>
    <t>成新度</t>
  </si>
  <si>
    <t>收益法 (元)</t>
  </si>
  <si>
    <t>自定义</t>
  </si>
  <si>
    <t>钢混</t>
  </si>
  <si>
    <t>非生产用房</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</si>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</sst>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受贵公司委托，我公司对房地产市场价值进行了预评估。</v>
      </c>
    </row>
    <row r="7" spans="1:2" s="1203" customFormat="1">
      <c r="A7" s="1201" t="s">
        <v>566</v>
      </c>
      <c r="B7" s="1202" t="str">
        <f>'预评函-1'!A7</f>
        <v>估价对象为房地产，为所有。根据《国有土地使用证》[]，估价对象（分摊）出让国有建设用地使用权面积为0平方米，建筑面积为1平方米。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2023年2月4日</v>
      </c>
    </row>
    <row r="13" spans="1:2" s="1203" customFormat="1">
      <c r="A13" s="1201" t="s">
        <v>529</v>
      </c>
      <c r="B13" s="1202" t="str">
        <f>'预评函-1'!A18</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2</v>
      </c>
    </row>
    <row r="21" spans="1:2" s="1203" customFormat="1">
      <c r="A21" s="1201" t="s">
        <v>537</v>
      </c>
      <c r="B21" s="1202">
        <f ca="1">'预评函-2'!D7</f>
        <v>16536</v>
      </c>
    </row>
    <row r="22" spans="1:2" s="1203" customFormat="1">
      <c r="A22" s="1201" t="s">
        <v>538</v>
      </c>
      <c r="B22" s="1202" t="str">
        <f ca="1">'预评函-2'!D6</f>
        <v>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v>
      </c>
    </row>
    <row r="31" spans="1:2" s="1203" customFormat="1">
      <c r="A31" s="1201" t="s">
        <v>576</v>
      </c>
      <c r="B31" s="1202">
        <f ca="1">'预评函-2'!D15</f>
        <v>16536</v>
      </c>
    </row>
    <row r="32" spans="1:2" s="1203" customFormat="1">
      <c r="A32" s="1201" t="s">
        <v>543</v>
      </c>
      <c r="B32" s="1202" t="str">
        <f ca="1">'预评函-2'!D14</f>
        <v>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房地产市场价值预评估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2023年2月4日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估价结果一览表（市场价值不需“结果表-1”）</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2</v>
      </c>
      <c r="E5" s="1491"/>
    </row>
    <row r="6" spans="1:5" ht="15.75">
      <c r="A6" s="1491"/>
      <c r="B6" s="3452"/>
      <c r="C6" s="1494" t="s">
        <v>911</v>
      </c>
      <c r="D6" s="850" t="str">
        <f ca="1">NUMBERSTRING(INT(D5*10000),2)&amp;"元整"</f>
        <v>贰万元整</v>
      </c>
      <c r="E6" s="1491"/>
    </row>
    <row r="7" spans="1:5" ht="15.75">
      <c r="A7" s="1491"/>
      <c r="B7" s="3457"/>
      <c r="C7" s="1495" t="s">
        <v>912</v>
      </c>
      <c r="D7" s="851">
        <f ca="1">结果表!H102</f>
        <v>16536</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2</v>
      </c>
      <c r="E13" s="1491"/>
    </row>
    <row r="14" spans="1:5" ht="15.75">
      <c r="A14" s="1491"/>
      <c r="B14" s="3452"/>
      <c r="C14" s="1494" t="s">
        <v>911</v>
      </c>
      <c r="D14" s="850" t="str">
        <f ca="1">NUMBERSTRING(INT(D13*10000),2)&amp;"元整"</f>
        <v>贰万元整</v>
      </c>
      <c r="E14" s="1491"/>
    </row>
    <row r="15" spans="1:5" ht="15">
      <c r="A15" s="1491"/>
      <c r="B15" s="3457"/>
      <c r="C15" s="1495" t="s">
        <v>921</v>
      </c>
      <c r="D15" s="859">
        <f ca="1">结果表!H108</f>
        <v>16536</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估价结果一览表</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房地产市场价值</v>
      </c>
      <c r="I2" s="3469"/>
    </row>
    <row r="3" spans="1:9" ht="15">
      <c r="A3" s="3464"/>
      <c r="B3" s="3464"/>
      <c r="C3" s="3464"/>
      <c r="D3" s="854" t="s">
        <v>925</v>
      </c>
      <c r="E3" s="854" t="s">
        <v>931</v>
      </c>
      <c r="F3" s="854" t="s">
        <v>925</v>
      </c>
      <c r="G3" s="854" t="s">
        <v>926</v>
      </c>
      <c r="H3" s="854" t="s">
        <v>925</v>
      </c>
      <c r="I3" s="854" t="s">
        <v>926</v>
      </c>
    </row>
    <row r="4" spans="1:9" ht="15">
      <c r="A4" s="1505" t="str">
        <f>项目基本情况!S2</f>
        <v>房地产</v>
      </c>
      <c r="B4" s="854">
        <f>项目基本情况!C17</f>
        <v>1</v>
      </c>
      <c r="C4" s="854">
        <f>项目基本情况!C18</f>
        <v>0</v>
      </c>
      <c r="D4" s="854" t="e">
        <f ca="1">结果表!D118</f>
        <v>#REF!</v>
      </c>
      <c r="E4" s="854" t="e">
        <f ca="1">结果表!E118</f>
        <v>#REF!</v>
      </c>
      <c r="F4" s="854" t="e">
        <f ca="1">结果表!F118</f>
        <v>#REF!</v>
      </c>
      <c r="G4" s="854" t="e">
        <f ca="1">结果表!G118</f>
        <v>#REF!</v>
      </c>
      <c r="H4" s="854">
        <f ca="1">结果表!H118</f>
        <v>2</v>
      </c>
      <c r="I4" s="854">
        <f ca="1">结果表!I118</f>
        <v>16536</v>
      </c>
    </row>
    <row r="5" spans="1:9" ht="30" customHeight="1">
      <c r="A5" s="3464" t="s">
        <v>927</v>
      </c>
      <c r="B5" s="3464"/>
      <c r="C5" s="3464"/>
      <c r="D5" s="3464" t="e">
        <f ca="1">结果表!D119</f>
        <v>#REF!</v>
      </c>
      <c r="E5" s="3464"/>
      <c r="F5" s="3464" t="e">
        <f ca="1">结果表!F119</f>
        <v>#REF!</v>
      </c>
      <c r="G5" s="3464"/>
      <c r="H5" s="3464" t="str">
        <f ca="1">结果表!H119</f>
        <v>贰万元整</v>
      </c>
      <c r="I5" s="3464"/>
    </row>
    <row r="6" spans="1:9" ht="15.75">
      <c r="A6" s="3463" t="str">
        <f>结果表!A120</f>
        <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
      </c>
      <c r="B8" s="3463"/>
      <c r="C8" s="3463"/>
      <c r="D8" s="3463">
        <f ca="1">结果表!D122</f>
        <v>2</v>
      </c>
      <c r="E8" s="3463"/>
      <c r="F8" s="3463"/>
      <c r="G8" s="3463"/>
      <c r="H8" s="3463"/>
      <c r="I8" s="3463"/>
    </row>
    <row r="9" spans="1:9" ht="15">
      <c r="A9" s="3464" t="s">
        <v>927</v>
      </c>
      <c r="B9" s="3464"/>
      <c r="C9" s="3464"/>
      <c r="D9" s="3464" t="str">
        <f ca="1">结果表!D123</f>
        <v>贰万元整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5"/>
      <c r="C12" s="3475"/>
      <c r="D12" s="3475"/>
    </row>
    <row r="13" spans="1:4" ht="30" customHeight="1">
      <c r="A13" s="3470" t="str">
        <f>IF(项目基本情况!B8="抵押","3.抵押双方在办理抵押登记手续时，应使用本公司出具的正式《房地产评估报告》，特提醒报告使用者注意。","——")</f>
        <v>——</v>
      </c>
      <c r="B13" s="3475"/>
      <c r="C13" s="3475"/>
      <c r="D13" s="3475"/>
    </row>
    <row r="14" spans="1:4" ht="15.75" customHeight="1">
      <c r="A14" s="3470" t="str">
        <f>IF(项目基本情况!B8="抵押","4.本次评估估价师所知悉的法定优先受偿款情况说明如下：","——")</f>
        <v>——</v>
      </c>
      <c r="B14" s="3475"/>
      <c r="C14" s="3475"/>
      <c r="D14" s="3475"/>
    </row>
    <row r="15" spans="1:4" ht="42" customHeight="1">
      <c r="A15" s="3470" t="str">
        <f>IF(项目基本情况!B8="抵押","（1）"&amp;CONCATENATE(项目基本情况!L20,项目基本情况!L21,项目基本情况!L22),"——")</f>
        <v>——</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44984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3350</v>
      </c>
    </row>
    <row r="8" spans="1:23">
      <c r="A8" s="1546" t="s">
        <v>1026</v>
      </c>
      <c r="B8" s="1546" t="s">
        <v>1027</v>
      </c>
      <c r="C8" s="1547" t="s">
        <v>319</v>
      </c>
      <c r="F8" s="1548" t="s">
        <v>1028</v>
      </c>
      <c r="H8" s="1548" t="s">
        <v>2581</v>
      </c>
      <c r="I8" s="1548" t="s">
        <v>3351</v>
      </c>
    </row>
    <row r="9" spans="1:23">
      <c r="A9" s="1546" t="s">
        <v>1029</v>
      </c>
      <c r="B9" s="1546" t="s">
        <v>1030</v>
      </c>
      <c r="C9" s="1547" t="s">
        <v>320</v>
      </c>
      <c r="F9" s="1548" t="s">
        <v>1031</v>
      </c>
      <c r="H9" s="1548"/>
      <c r="I9" s="1551" t="s">
        <v>3352</v>
      </c>
    </row>
    <row r="10" spans="1:23">
      <c r="A10" s="1546" t="s">
        <v>1032</v>
      </c>
      <c r="B10" s="1546" t="s">
        <v>1033</v>
      </c>
      <c r="C10" s="1547" t="s">
        <v>321</v>
      </c>
      <c r="F10" s="1548" t="s">
        <v>2582</v>
      </c>
      <c r="I10" s="1551" t="s">
        <v>3353</v>
      </c>
    </row>
    <row r="11" spans="1:23">
      <c r="A11" s="1546" t="s">
        <v>1034</v>
      </c>
      <c r="B11" s="1546" t="s">
        <v>1035</v>
      </c>
      <c r="C11" s="1547" t="s">
        <v>322</v>
      </c>
      <c r="F11" s="1548" t="s">
        <v>13</v>
      </c>
      <c r="I11" s="1551" t="s">
        <v>3354</v>
      </c>
    </row>
    <row r="12" spans="1:23">
      <c r="A12" s="1546" t="s">
        <v>1036</v>
      </c>
      <c r="B12" s="1546" t="s">
        <v>1037</v>
      </c>
      <c r="C12" s="1547" t="s">
        <v>323</v>
      </c>
      <c r="I12" s="1551" t="s">
        <v>3355</v>
      </c>
    </row>
    <row r="13" spans="1:23">
      <c r="A13" s="1546" t="s">
        <v>1038</v>
      </c>
      <c r="B13" s="1546" t="s">
        <v>1039</v>
      </c>
      <c r="C13" s="1547" t="s">
        <v>324</v>
      </c>
      <c r="I13" s="1551" t="s">
        <v>3356</v>
      </c>
    </row>
    <row r="14" spans="1:23">
      <c r="A14" s="1546" t="s">
        <v>1040</v>
      </c>
      <c r="B14" s="1546" t="s">
        <v>1041</v>
      </c>
      <c r="C14" s="1548" t="s">
        <v>13</v>
      </c>
      <c r="I14" s="1551" t="s">
        <v>3357</v>
      </c>
    </row>
    <row r="15" spans="1:23">
      <c r="A15" s="1546" t="s">
        <v>1042</v>
      </c>
      <c r="B15" s="1546" t="s">
        <v>1043</v>
      </c>
      <c r="C15" s="1547"/>
      <c r="I15" s="1551" t="s">
        <v>3358</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44961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3.87</v>
      </c>
      <c r="D5" s="3025">
        <f>IF(ISERROR(ROUND(POWER(1+E5,A5-C5)*(POWER(1+E5,C5)-1)/(POWER(1+E5,A5)-1),3)),0,ROUND(POWER(1+E5,A5-C5)*(POWER(1+E5,C5)-1)/(POWER(1+E5,A5)-1),4))</f>
        <v>0.1779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13.88</v>
      </c>
      <c r="D6" s="3025">
        <f>IF(ISERROR(ROUND(POWER(1+E6,A6-C6)*(POWER(1+E6,C6)-1)/(POWER(1+E6,A6)-1),3)),0,ROUND(POWER(1+E6,A6-C6)*(POWER(1+E6,C6)-1)/(POWER(1+E6,A6)-1),4))</f>
        <v>0.48849999999999999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33.89</v>
      </c>
      <c r="D7" s="3025">
        <f>IF(ISERROR(ROUND(POWER(1+E7,A7-C7)*(POWER(1+E7,C7)-1)/(POWER(1+E7,A7)-1),3)),0,ROUND(POWER(1+E7,A7-C7)*(POWER(1+E7,C7)-1)/(POWER(1+E7,A7)-1),4))</f>
        <v>0.78580000000000005</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27" sqref="L2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房地产市场价值预评估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c r="C3" s="2374" t="s">
        <v>2171</v>
      </c>
      <c r="D3" s="2373">
        <v>44961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3" t="s">
        <v>2177</v>
      </c>
      <c r="E8" s="2391"/>
      <c r="F8" s="2392"/>
      <c r="G8" s="2663"/>
      <c r="H8" s="2663"/>
      <c r="I8" s="2663"/>
      <c r="J8" s="2439"/>
      <c r="K8" s="2614"/>
      <c r="L8" s="2613"/>
      <c r="M8" s="2613"/>
      <c r="N8" s="2439"/>
      <c r="O8" s="2450"/>
      <c r="P8" s="2439"/>
      <c r="Q8" s="2439"/>
      <c r="R8" s="2439"/>
    </row>
    <row r="9" spans="1:30" ht="13.5" thickBot="1">
      <c r="A9" s="2393" t="s">
        <v>2178</v>
      </c>
      <c r="B9" s="2394" t="s">
        <v>3381</v>
      </c>
      <c r="C9" s="2395"/>
      <c r="D9" s="3504"/>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3340</v>
      </c>
      <c r="B13" s="2407" t="s">
        <v>2190</v>
      </c>
      <c r="C13" s="856">
        <v>65403</v>
      </c>
      <c r="D13" s="856"/>
      <c r="E13" s="856"/>
      <c r="F13" s="856">
        <v>58102</v>
      </c>
      <c r="G13" s="856"/>
      <c r="H13" s="856"/>
      <c r="I13" s="856"/>
      <c r="J13" s="3062"/>
      <c r="K13" s="2613"/>
      <c r="L13" s="2613"/>
      <c r="M13" s="2439"/>
      <c r="N13" s="2450"/>
      <c r="O13" s="2439"/>
      <c r="P13" s="2439"/>
      <c r="Q13" s="2439"/>
      <c r="AD13" s="1745"/>
    </row>
    <row r="14" spans="1:30">
      <c r="A14" s="1081"/>
      <c r="B14" s="2407" t="s">
        <v>2191</v>
      </c>
      <c r="C14" s="2408">
        <v>70</v>
      </c>
      <c r="D14" s="2408"/>
      <c r="E14" s="2408"/>
      <c r="F14" s="2408">
        <v>70</v>
      </c>
      <c r="G14" s="2408"/>
      <c r="H14" s="2408"/>
      <c r="I14" s="2408"/>
      <c r="J14" s="3063"/>
      <c r="K14" s="2613"/>
      <c r="L14" s="2613"/>
      <c r="M14" s="2439"/>
      <c r="N14" s="2450"/>
      <c r="O14" s="2439"/>
      <c r="P14" s="2439"/>
      <c r="Q14" s="2439"/>
      <c r="AD14" s="1745"/>
    </row>
    <row r="15" spans="1:30">
      <c r="A15" s="320"/>
      <c r="B15" s="2409" t="s">
        <v>2192</v>
      </c>
      <c r="C15" s="2410">
        <f>IF(A13="出让",IF(C13="","",ROUNDDOWN(MIN((C13-$D$3)/365,C14),2)),C14)</f>
        <v>56</v>
      </c>
      <c r="D15" s="2410" t="str">
        <f>IF(A13="出让",IF(D13="","",ROUNDDOWN(MIN((D13-$D$3)/365,D14),2)),D14)</f>
        <v/>
      </c>
      <c r="E15" s="2410" t="str">
        <f>IF(A13="出让",IF(E13="","",ROUNDDOWN(MIN((E13-$D$3)/365,E14),2)),E14)</f>
        <v/>
      </c>
      <c r="F15" s="2410">
        <f>IF(A13="出让",IF(F13="","",ROUNDDOWN(MIN((F13-$D$3)/365,F14),2)),F14)</f>
        <v>36</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1</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v>
      </c>
      <c r="H5" s="13">
        <f t="shared" ref="H5:AT5" si="0">SUM(H13:H656)</f>
        <v>1</v>
      </c>
      <c r="I5" s="13">
        <f t="shared" si="0"/>
        <v>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v>
      </c>
      <c r="BA5" s="15">
        <f t="shared" si="1"/>
        <v>1</v>
      </c>
      <c r="BB5" s="15">
        <f t="shared" si="1"/>
        <v>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3341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车库</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1</v>
      </c>
      <c r="H13" s="17">
        <f>SUMIF(I$12:AB$12,"总值",I13:AB13)</f>
        <v>1</v>
      </c>
      <c r="I13" s="1626">
        <v>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v>
      </c>
      <c r="BA13" s="13">
        <f>SUM(BB13:BK13)</f>
        <v>1</v>
      </c>
      <c r="BB13" s="13">
        <f>IF($D13="是",I13-J13,0)</f>
        <v>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2" sqref="M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1</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1</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0</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1</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0</v>
      </c>
      <c r="E19" s="53">
        <f t="shared" ref="E19:E26" si="1">SUM(F19:G19)</f>
        <v>1</v>
      </c>
      <c r="F19" s="2795"/>
      <c r="G19" s="2796">
        <f>'数据-基础表'!I13</f>
        <v>1</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v>
      </c>
      <c r="F27" s="1140">
        <f>IF(SUM(F19:F26)=E8,SUM(F19:F26),"地上面积有误")</f>
        <v>0</v>
      </c>
      <c r="G27" s="1142">
        <f>SUM(G19:G26)</f>
        <v>1</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v>
      </c>
      <c r="F31" s="677">
        <f>F27+F30</f>
        <v>0</v>
      </c>
      <c r="G31" s="678">
        <f>G27+G30</f>
        <v>1</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Q6" activePane="bottomRight" state="frozen"/>
      <selection activeCell="C50" sqref="C50"/>
      <selection pane="topRight" activeCell="C50" sqref="C50"/>
      <selection pane="bottomLeft" activeCell="C50" sqref="C50"/>
      <selection pane="bottomRight" activeCell="Y40" sqref="Y4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44961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车位</v>
      </c>
      <c r="B6" s="1713" t="str">
        <f>IF(A6=0,"","经营性")</f>
        <v>经营性</v>
      </c>
      <c r="C6" s="1714" t="s">
        <v>3341</v>
      </c>
      <c r="D6" s="858">
        <f>SUMIF(项目基本情况!C$12:I$12,C6,项目基本情况!C$14:I$14)</f>
        <v>70</v>
      </c>
      <c r="E6" s="857">
        <f>IF(B6="","",SUMIF(项目基本情况!C$12:I$12,C6,项目基本情况!C$13:I$13))</f>
        <v>58102</v>
      </c>
      <c r="F6" s="64">
        <f>SUMIF(项目基本情况!C$12:I$12,C6,项目基本情况!C$15:I$15)</f>
        <v>36</v>
      </c>
      <c r="G6" s="65">
        <f>IF(ISERROR(ROUND(POWER(1+H6,D6-F6)*(POWER(1+H6,F6)-1)/(POWER(1+H6,D6)-1),3)),0,ROUND(POWER(1+H6,D6-F6)*(POWER(1+H6,F6)-1)/(POWER(1+H6,D6)-1),3))</f>
        <v>0.78</v>
      </c>
      <c r="H6" s="732">
        <v>3.5000000000000003E-2</v>
      </c>
      <c r="I6" s="732">
        <v>0.04</v>
      </c>
      <c r="J6" s="66">
        <v>5.5E-2</v>
      </c>
      <c r="K6" s="1030">
        <f>SUMIF('数据-汇总表'!C$19:C$33,A6,'数据-汇总表'!E$19:E$33)</f>
        <v>1</v>
      </c>
      <c r="L6" s="733">
        <v>2500</v>
      </c>
      <c r="M6" s="67">
        <f t="shared" ref="M6:M14" si="0">ROUND(K6*L6/10000,0)</f>
        <v>0</v>
      </c>
      <c r="N6" s="731">
        <f>N21</f>
        <v>0.8</v>
      </c>
      <c r="O6" s="67" t="str">
        <f>IF($N$5="成新度","——",ROUND(M6*N6,0))</f>
        <v>——</v>
      </c>
      <c r="P6" s="68" t="str">
        <f>IF($N$5="成新度","——",M6-O6)</f>
        <v>——</v>
      </c>
      <c r="Q6" s="734">
        <v>0</v>
      </c>
      <c r="R6" s="69">
        <f ca="1">SUMIF('数据-汇总表'!C$19:C$33,A6,'数据-汇总表'!R$19:R$27)</f>
        <v>0</v>
      </c>
      <c r="S6" s="51">
        <f>IF('数据-汇总表'!$I$17="按面积比例",SUMIF('数据-汇总表'!C$19:C$33,A6,'数据-汇总表'!K$19:K$33),SUMIF('数据-汇总表'!C$19:C$33,A6,'数据-汇总表'!N$19:N$33))</f>
        <v>0</v>
      </c>
      <c r="T6" s="1172">
        <f>ROUND($L$14*S6/10000,0)</f>
        <v>0</v>
      </c>
      <c r="U6" s="3428">
        <v>60</v>
      </c>
      <c r="V6" s="70">
        <v>1.4999999999999999E-2</v>
      </c>
      <c r="W6" s="70">
        <v>0</v>
      </c>
      <c r="X6" s="1040"/>
      <c r="Y6" s="71">
        <f>N6</f>
        <v>0.8</v>
      </c>
      <c r="Z6" s="72"/>
      <c r="AA6" s="66"/>
      <c r="AB6" s="66"/>
      <c r="AC6" s="1040"/>
      <c r="AD6" s="73"/>
      <c r="AE6" s="1041">
        <f ca="1">IF(AN6="",0,SUMIF(INDIRECT("'"&amp;AN6&amp;"'"&amp;"!E:E"),$AE$5,INDIRECT("'"&amp;AN6&amp;"'"&amp;"!F:F")))</f>
        <v>36</v>
      </c>
      <c r="AF6" s="1348"/>
      <c r="AG6" s="138">
        <f>IF(AF6="",0,AE6-AF6)</f>
        <v>0</v>
      </c>
      <c r="AH6" s="74">
        <v>1</v>
      </c>
      <c r="AI6" s="76">
        <v>12</v>
      </c>
      <c r="AJ6" s="77"/>
      <c r="AK6" s="78">
        <v>0</v>
      </c>
      <c r="AL6" s="79">
        <v>0</v>
      </c>
      <c r="AM6" s="80">
        <v>0</v>
      </c>
      <c r="AN6" s="1715" t="s">
        <v>3390</v>
      </c>
      <c r="AO6" s="52">
        <f ca="1">SUMIF(INDIRECT("'"&amp;AN6&amp;"'"&amp;"!A:A"),"总价",INDIRECT("'"&amp;AN6&amp;"'"&amp;"!B:B"))</f>
        <v>1.6536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v>
      </c>
      <c r="H16" s="90">
        <f>ROUND(SUMPRODUCT(H6:H13,K6:K13)/SUMPRODUCT((H6:H13&gt;0)*(K6:K13)),3)</f>
        <v>3.5000000000000003E-2</v>
      </c>
      <c r="I16" s="91"/>
      <c r="J16" s="91"/>
      <c r="K16" s="92">
        <f>SUM(K6:K15)</f>
        <v>1</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2011</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ROUND(1-(2023-N20)/60,2)</f>
        <v>0.8</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0.01</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0.01</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3.6499999999999998E-2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5.5500000000000008E-2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5.5000000000000014E-3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5.0000000000000001E-4</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32" sqref="C3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44961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3.3071999999999999</v>
      </c>
      <c r="C5" s="2512">
        <f ca="1">IF(B5=D14,结果表!H102,ROUND(B5*10000/$B$1,0))</f>
        <v>16536</v>
      </c>
      <c r="D5" s="2512" t="e">
        <f ca="1">ROUND(B5*10000/$B$2,0)</f>
        <v>#DIV/0!</v>
      </c>
      <c r="E5" s="2686"/>
      <c r="F5" s="2687"/>
      <c r="G5" s="2687"/>
      <c r="H5" s="2688"/>
      <c r="I5" s="2688"/>
      <c r="J5" s="2688"/>
      <c r="K5" s="2688"/>
    </row>
    <row r="6" spans="1:11" ht="16.5">
      <c r="A6" s="2512" t="s">
        <v>656</v>
      </c>
      <c r="B6" s="2512">
        <f>SUM(G14:G23)</f>
        <v>0</v>
      </c>
      <c r="C6" s="2512">
        <f ca="1">IF(B6=G14,结果表!H108,ROUND(B6*10000/$B$1,0))</f>
        <v>16536</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3364</v>
      </c>
      <c r="D10" s="2512" t="s">
        <v>3365</v>
      </c>
      <c r="E10" s="3441"/>
      <c r="F10" s="3445" t="s">
        <v>3366</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v>
      </c>
      <c r="C14" s="2518"/>
      <c r="D14" s="2518">
        <f ca="1">'收益法 (元)'!B2</f>
        <v>1.6536</v>
      </c>
      <c r="E14" s="2518">
        <f ca="1">结果表!H102</f>
        <v>16536</v>
      </c>
      <c r="F14" s="2518" t="e">
        <f ca="1">ROUND(D14*10000/C14,0)</f>
        <v>#DIV/0!</v>
      </c>
      <c r="G14" s="2518"/>
      <c r="H14" s="2518"/>
      <c r="I14" s="2518"/>
      <c r="J14" s="2687"/>
      <c r="K14" s="2688"/>
    </row>
    <row r="15" spans="1:11" ht="16.5">
      <c r="A15" s="2517" t="s">
        <v>649</v>
      </c>
      <c r="B15" s="2519">
        <f>B14</f>
        <v>1</v>
      </c>
      <c r="C15" s="2519"/>
      <c r="D15" s="2519">
        <f ca="1">D14</f>
        <v>1.6536</v>
      </c>
      <c r="E15" s="2518">
        <f ca="1">E14</f>
        <v>16536</v>
      </c>
      <c r="F15" s="2518" t="e">
        <f t="shared" ref="F15:F23" ca="1" si="0">ROUND(D15*10000/C15,0)</f>
        <v>#DIV/0!</v>
      </c>
      <c r="G15" s="1331"/>
      <c r="H15" s="1331"/>
      <c r="I15" s="2519"/>
      <c r="J15" s="2687"/>
      <c r="K15" s="2688"/>
    </row>
    <row r="16" spans="1:11" ht="16.5">
      <c r="A16" s="2517" t="s">
        <v>648</v>
      </c>
      <c r="B16" s="2519"/>
      <c r="C16" s="2519"/>
      <c r="D16" s="2519"/>
      <c r="E16" s="2518" t="e">
        <f t="shared" ref="E16:E23" si="1">ROUND(D16*10000/B16,0)</f>
        <v>#DIV/0!</v>
      </c>
      <c r="F16" s="2518" t="e">
        <f t="shared" si="0"/>
        <v>#DIV/0!</v>
      </c>
      <c r="G16" s="1331"/>
      <c r="H16" s="1331"/>
      <c r="I16" s="2519"/>
      <c r="J16" s="2688"/>
      <c r="K16" s="2688"/>
    </row>
    <row r="17" spans="1:11" ht="16.5">
      <c r="A17" s="2517" t="s">
        <v>647</v>
      </c>
      <c r="B17" s="2519"/>
      <c r="C17" s="2519"/>
      <c r="D17" s="2519"/>
      <c r="E17" s="2518" t="e">
        <f t="shared" si="1"/>
        <v>#DIV/0!</v>
      </c>
      <c r="F17" s="2518" t="e">
        <f t="shared" si="0"/>
        <v>#DIV/0!</v>
      </c>
      <c r="G17" s="1331"/>
      <c r="H17" s="1331"/>
      <c r="I17" s="2519"/>
      <c r="J17" s="2688"/>
      <c r="K17" s="2688"/>
    </row>
    <row r="18" spans="1:11" ht="16.5">
      <c r="A18" s="2517" t="s">
        <v>646</v>
      </c>
      <c r="B18" s="2519"/>
      <c r="C18" s="2519"/>
      <c r="D18" s="2519"/>
      <c r="E18" s="2518" t="e">
        <f t="shared" si="1"/>
        <v>#DIV/0!</v>
      </c>
      <c r="F18" s="2518" t="e">
        <f t="shared" si="0"/>
        <v>#DIV/0!</v>
      </c>
      <c r="G18" s="2519"/>
      <c r="H18" s="2519"/>
      <c r="I18" s="2519"/>
      <c r="J18" s="2688"/>
      <c r="K18" s="2688"/>
    </row>
    <row r="19" spans="1:11" ht="16.5">
      <c r="A19" s="2517" t="s">
        <v>645</v>
      </c>
      <c r="B19" s="2519"/>
      <c r="C19" s="2519"/>
      <c r="D19" s="2519"/>
      <c r="E19" s="2518" t="e">
        <f t="shared" si="1"/>
        <v>#DIV/0!</v>
      </c>
      <c r="F19" s="2518" t="e">
        <f t="shared" si="0"/>
        <v>#DIV/0!</v>
      </c>
      <c r="G19" s="2519"/>
      <c r="H19" s="2519"/>
      <c r="I19" s="2519"/>
      <c r="J19" s="2688"/>
      <c r="K19" s="2688"/>
    </row>
    <row r="20" spans="1:11" ht="16.5">
      <c r="A20" s="2517" t="s">
        <v>644</v>
      </c>
      <c r="B20" s="2519"/>
      <c r="C20" s="2519"/>
      <c r="D20" s="2519"/>
      <c r="E20" s="2518" t="e">
        <f t="shared" si="1"/>
        <v>#DIV/0!</v>
      </c>
      <c r="F20" s="2518" t="e">
        <f t="shared" si="0"/>
        <v>#DIV/0!</v>
      </c>
      <c r="G20" s="2519"/>
      <c r="H20" s="2519"/>
      <c r="I20" s="2519"/>
      <c r="J20" s="2688"/>
      <c r="K20" s="2688"/>
    </row>
    <row r="21" spans="1:11" ht="16.5">
      <c r="A21" s="2517" t="s">
        <v>643</v>
      </c>
      <c r="B21" s="2519"/>
      <c r="C21" s="2519"/>
      <c r="D21" s="2519"/>
      <c r="E21" s="2518" t="e">
        <f t="shared" si="1"/>
        <v>#DIV/0!</v>
      </c>
      <c r="F21" s="2518" t="e">
        <f t="shared" si="0"/>
        <v>#DIV/0!</v>
      </c>
      <c r="G21" s="2519"/>
      <c r="H21" s="2519"/>
      <c r="I21" s="2519"/>
      <c r="J21" s="2688"/>
      <c r="K21" s="2688"/>
    </row>
    <row r="22" spans="1:11" ht="16.5">
      <c r="A22" s="2517" t="s">
        <v>642</v>
      </c>
      <c r="B22" s="2519"/>
      <c r="C22" s="2519"/>
      <c r="D22" s="2519"/>
      <c r="E22" s="2518" t="e">
        <f t="shared" si="1"/>
        <v>#DIV/0!</v>
      </c>
      <c r="F22" s="2518" t="e">
        <f t="shared" si="0"/>
        <v>#DIV/0!</v>
      </c>
      <c r="G22" s="2519"/>
      <c r="H22" s="2519"/>
      <c r="I22" s="2519"/>
      <c r="J22" s="2688"/>
      <c r="K22" s="2688"/>
    </row>
    <row r="23" spans="1:11" ht="16.5">
      <c r="A23" s="2517" t="s">
        <v>641</v>
      </c>
      <c r="B23" s="2519"/>
      <c r="C23" s="2519"/>
      <c r="D23" s="2519"/>
      <c r="E23" s="2520" t="e">
        <f t="shared" si="1"/>
        <v>#DIV/0!</v>
      </c>
      <c r="F23" s="2520" t="e">
        <f t="shared" si="0"/>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G33" sqref="G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3390</v>
      </c>
      <c r="D4" s="1756" t="s">
        <v>3390</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1</v>
      </c>
      <c r="D14" s="3576">
        <v>1</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1</v>
      </c>
      <c r="D17" s="132">
        <f>SUM(D5:D16)</f>
        <v>1</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3" t="s">
        <v>2131</v>
      </c>
      <c r="F18" s="3564"/>
      <c r="G18" s="3564"/>
      <c r="H18" s="3564"/>
      <c r="I18" s="3564"/>
      <c r="K18" s="302" t="s">
        <v>1289</v>
      </c>
      <c r="L18" s="302">
        <f>IF(C1="",'数据-汇总表'!E3,SUMIF(项目类型,C1,'数据-汇总表'!E17:E26)+SUMIF(项目类型,C1,'数据-汇总表'!I17:I26))</f>
        <v>1</v>
      </c>
      <c r="M18" s="302">
        <f>IF(C1="",'数据-汇总表'!E3,SUMIF(项目类型,C1,'数据-汇总表'!E17:E26))</f>
        <v>1</v>
      </c>
    </row>
    <row r="19" spans="1:36" ht="15">
      <c r="A19" s="1761" t="s">
        <v>1290</v>
      </c>
      <c r="B19" s="1762" t="s">
        <v>1291</v>
      </c>
      <c r="C19" s="134">
        <f ca="1">SUMIF(INDIRECT("'"&amp;C4&amp;"'"&amp;"!A:A"),结果表!B19,INDIRECT("'"&amp;C4&amp;"'"&amp;"!B:B"))</f>
        <v>1.6536</v>
      </c>
      <c r="D19" s="135">
        <f ca="1">SUMIF(INDIRECT("'"&amp;D4&amp;"'"&amp;"!A:A"),结果表!B19,INDIRECT("'"&amp;D4&amp;"'"&amp;"!B:B"))</f>
        <v>1.6536</v>
      </c>
      <c r="E19" s="1761" t="s">
        <v>1292</v>
      </c>
      <c r="F19" s="1762" t="s">
        <v>1291</v>
      </c>
      <c r="G19" s="136">
        <f ca="1">ROUND(C19*$C$18+D19*$D$18,0)</f>
        <v>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16536</v>
      </c>
      <c r="D20" s="138">
        <f ca="1">SUMIF(INDIRECT("'"&amp;D4&amp;"'"&amp;"!A:A"),结果表!B20,INDIRECT("'"&amp;D4&amp;"'"&amp;"!B:B"))</f>
        <v>16536</v>
      </c>
      <c r="E20" s="1764"/>
      <c r="F20" s="1026" t="s">
        <v>1295</v>
      </c>
      <c r="G20" s="139">
        <f ca="1">ROUND(C20*$C$18+D20*$D$18,0)</f>
        <v>16536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16536</v>
      </c>
      <c r="D32" s="1775" t="s">
        <v>3394</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2</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44961</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5.5500000000000008E-2</v>
      </c>
      <c r="G48" s="2549" t="s">
        <v>1339</v>
      </c>
      <c r="H48" s="2550"/>
      <c r="I48" s="1806"/>
      <c r="J48" s="2523">
        <v>3</v>
      </c>
      <c r="K48" s="3603" t="s">
        <v>1340</v>
      </c>
      <c r="L48" s="3603"/>
      <c r="M48" s="3625">
        <f ca="1">H101</f>
        <v>2</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抵押担保权已注销时的房地产抵押价值</v>
      </c>
      <c r="L49" s="3603"/>
      <c r="M49" s="3625" t="str">
        <f>IF(项目基本情况!E8="房地产抵押价值",H107,H109)</f>
        <v>——</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0</v>
      </c>
      <c r="E52" s="2334" t="s">
        <v>1354</v>
      </c>
      <c r="F52" s="2554">
        <f>'数据-取费表'!B41</f>
        <v>5.5500000000000008E-2</v>
      </c>
      <c r="G52" s="2555"/>
      <c r="H52" s="2544"/>
      <c r="I52" s="1807"/>
      <c r="J52" s="2523">
        <v>1</v>
      </c>
      <c r="K52" s="3604" t="s">
        <v>1355</v>
      </c>
      <c r="L52" s="3604"/>
      <c r="M52" s="2525" t="b">
        <f>D48</f>
        <v>0</v>
      </c>
      <c r="N52" s="2523" t="str">
        <f>E48</f>
        <v>销售额×税（费）率</v>
      </c>
      <c r="O52" s="2526">
        <f>F48</f>
        <v>5.5500000000000008E-2</v>
      </c>
    </row>
    <row r="53" spans="1:35" ht="12" customHeight="1">
      <c r="A53" s="2335" t="s">
        <v>1356</v>
      </c>
      <c r="B53" s="3565" t="s">
        <v>2291</v>
      </c>
      <c r="C53" s="3566"/>
      <c r="D53" s="1087">
        <f ca="1">ROUND(D45*'数据-取费表'!B41/(1+'数据-取费表'!C42),0)</f>
        <v>0</v>
      </c>
      <c r="E53" s="2334" t="s">
        <v>1354</v>
      </c>
      <c r="F53" s="2554">
        <f>'数据-取费表'!B41</f>
        <v>5.5500000000000008E-2</v>
      </c>
      <c r="G53" s="2555"/>
      <c r="H53" s="2544"/>
      <c r="I53" s="1807"/>
      <c r="J53" s="2523">
        <v>2</v>
      </c>
      <c r="K53" s="3604" t="s">
        <v>1357</v>
      </c>
      <c r="L53" s="3604"/>
      <c r="M53" s="2525">
        <f t="shared" ref="M53:O54" ca="1" si="0">D55</f>
        <v>0</v>
      </c>
      <c r="N53" s="2523" t="str">
        <f t="shared" si="0"/>
        <v>销售额×税（费）率</v>
      </c>
      <c r="O53" s="2526" t="str">
        <f t="shared" si="0"/>
        <v>免征</v>
      </c>
    </row>
    <row r="54" spans="1:35" ht="12" customHeight="1">
      <c r="A54" s="2335" t="s">
        <v>1358</v>
      </c>
      <c r="B54" s="3565" t="s">
        <v>2292</v>
      </c>
      <c r="C54" s="3566"/>
      <c r="D54" s="1087">
        <f ca="1">C68</f>
        <v>0</v>
      </c>
      <c r="E54" s="327" t="s">
        <v>1359</v>
      </c>
      <c r="F54" s="2554">
        <f>'数据-取费表'!B41</f>
        <v>5.5500000000000008E-2</v>
      </c>
      <c r="G54" s="2555"/>
      <c r="H54" s="2556"/>
      <c r="I54" s="1807"/>
      <c r="J54" s="2523">
        <v>3</v>
      </c>
      <c r="K54" s="3604" t="s">
        <v>1360</v>
      </c>
      <c r="L54" s="3604"/>
      <c r="M54" s="2525" t="e">
        <f t="shared" ca="1" si="0"/>
        <v>#DIV/0!</v>
      </c>
      <c r="N54" s="2523" t="str">
        <f t="shared" si="0"/>
        <v>增值额×税（费）率</v>
      </c>
      <c r="O54" s="2527" t="str">
        <f t="shared" si="0"/>
        <v>免征</v>
      </c>
    </row>
    <row r="55" spans="1:35" ht="24" customHeight="1">
      <c r="A55" s="3554" t="s">
        <v>1361</v>
      </c>
      <c r="B55" s="3555"/>
      <c r="C55" s="3555"/>
      <c r="D55" s="2324">
        <f ca="1">IF(H55="个人住宅",0,ROUND(D45*I55,0))</f>
        <v>0</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0</v>
      </c>
      <c r="N55" s="2040" t="str">
        <f>E59</f>
        <v>差额计税</v>
      </c>
      <c r="O55" s="2529">
        <f>F59</f>
        <v>0.01</v>
      </c>
    </row>
    <row r="56" spans="1:35" ht="24.75">
      <c r="A56" s="3554" t="s">
        <v>1363</v>
      </c>
      <c r="B56" s="3555"/>
      <c r="C56" s="3555"/>
      <c r="D56" s="2324" t="e">
        <f ca="1">IF(H56="个人住宅",D57,D58)</f>
        <v>#DIV/0!</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0</v>
      </c>
      <c r="O57" s="2533"/>
      <c r="P57" s="2690" t="e">
        <f ca="1">N57/M49</f>
        <v>#VALUE!</v>
      </c>
    </row>
    <row r="58" spans="1:35" ht="24.75">
      <c r="A58" s="2335" t="s">
        <v>1352</v>
      </c>
      <c r="B58" s="3565" t="s">
        <v>1369</v>
      </c>
      <c r="C58" s="3539"/>
      <c r="D58" s="2324" t="e">
        <f ca="1">IF(H58="转让取得",C81,C97)</f>
        <v>#DIV/0!</v>
      </c>
      <c r="E58" s="2334" t="s">
        <v>1364</v>
      </c>
      <c r="F58" s="302" t="s">
        <v>28</v>
      </c>
      <c r="G58" s="2555"/>
      <c r="H58" s="2558"/>
      <c r="I58" s="1808"/>
      <c r="J58" s="3604"/>
      <c r="K58" s="3604"/>
      <c r="L58" s="2530" t="s">
        <v>1370</v>
      </c>
      <c r="M58" s="2534"/>
      <c r="N58" s="2535" t="str">
        <f ca="1">NUMBERSTRING(INT(N57*10000),2)&amp;"元整"</f>
        <v>零元整</v>
      </c>
      <c r="O58" s="2536"/>
    </row>
    <row r="59" spans="1:35" ht="24.75" thickBot="1">
      <c r="A59" s="3607" t="s">
        <v>1371</v>
      </c>
      <c r="B59" s="3608"/>
      <c r="C59" s="3608"/>
      <c r="D59" s="2560">
        <f ca="1">IF(H59="非个人房产","——",IF(H59="个人住宅（满五唯一有凭证）",0,IF(H59="个人其他（无凭证）",ROUND(D45*F59,0),ROUND(C67*F59,0))))</f>
        <v>0</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t="e">
        <f ca="1">M49-N57</f>
        <v>#VALUE!</v>
      </c>
      <c r="O59" s="2539"/>
    </row>
    <row r="60" spans="1:35" ht="12" customHeight="1">
      <c r="A60" s="1809"/>
      <c r="B60" s="1747"/>
      <c r="C60" s="1747"/>
      <c r="D60" s="1747"/>
      <c r="E60" s="1578"/>
      <c r="F60" s="1808"/>
      <c r="G60" s="1808"/>
      <c r="H60" s="1810"/>
      <c r="I60" s="129"/>
      <c r="J60" s="3606"/>
      <c r="K60" s="3604"/>
      <c r="L60" s="2530" t="s">
        <v>1370</v>
      </c>
      <c r="M60" s="2534"/>
      <c r="N60" s="2535" t="e">
        <f ca="1">NUMBERSTRING(INT(N59*10000),2)&amp;"元整"</f>
        <v>#VALUE!</v>
      </c>
      <c r="O60" s="2536"/>
    </row>
    <row r="61" spans="1:35" ht="13.5" thickBot="1">
      <c r="A61" s="3552" t="s">
        <v>1373</v>
      </c>
      <c r="B61" s="3552"/>
      <c r="C61" s="3552"/>
      <c r="D61" s="3552"/>
      <c r="E61" s="3552"/>
      <c r="F61" s="1808"/>
      <c r="G61" s="1808"/>
      <c r="H61" s="1810"/>
      <c r="I61" s="129"/>
      <c r="J61" s="2523">
        <f>J59+1</f>
        <v>7</v>
      </c>
      <c r="K61" s="3604" t="s">
        <v>1374</v>
      </c>
      <c r="L61" s="3604"/>
      <c r="M61" s="2540"/>
      <c r="N61" s="2541" t="e">
        <f ca="1">ROUND(N59*10000/'数据-汇总表'!E3,0)</f>
        <v>#VALUE!</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2</v>
      </c>
      <c r="D63" s="167"/>
      <c r="E63" s="168"/>
      <c r="F63" s="1808"/>
      <c r="G63" s="1808"/>
      <c r="H63" s="1810"/>
      <c r="I63" s="129"/>
      <c r="J63" s="3629"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2</v>
      </c>
      <c r="D64" s="170" t="s">
        <v>26</v>
      </c>
      <c r="E64" s="172"/>
      <c r="F64" s="1808"/>
      <c r="G64" s="1808"/>
      <c r="H64" s="1810"/>
      <c r="I64" s="129"/>
      <c r="J64" s="362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t="e">
        <f>M49*0.5%</f>
        <v>#VALUE!</v>
      </c>
      <c r="M66" s="302" t="e">
        <f>IF(L66&gt;0.5,0.5,ROUND(L66,0))</f>
        <v>#VALUE!</v>
      </c>
      <c r="N66" s="2544" t="s">
        <v>1388</v>
      </c>
      <c r="Z66" s="1752"/>
      <c r="AI66" s="1753"/>
    </row>
    <row r="67" spans="1:35" ht="14.25" customHeight="1">
      <c r="A67" s="173" t="s">
        <v>328</v>
      </c>
      <c r="B67" s="174" t="s">
        <v>1389</v>
      </c>
      <c r="C67" s="2568">
        <f ca="1">C63-C66</f>
        <v>2</v>
      </c>
      <c r="D67" s="170" t="s">
        <v>26</v>
      </c>
      <c r="E67" s="172"/>
      <c r="F67" s="1808"/>
      <c r="G67" s="1808"/>
      <c r="H67" s="1810"/>
      <c r="I67" s="129"/>
      <c r="J67" s="362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0</v>
      </c>
      <c r="D68" s="2570">
        <f>'数据-取费表'!B41</f>
        <v>5.5500000000000008E-2</v>
      </c>
      <c r="E68" s="178"/>
      <c r="F68" s="1808"/>
      <c r="G68" s="1808"/>
      <c r="H68" s="1810"/>
      <c r="I68" s="129"/>
      <c r="J68" s="3629"/>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0</v>
      </c>
      <c r="D78" s="2577">
        <f>'数据-取费表'!B43</f>
        <v>5.5000000000000014E-3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#DIV/0!</v>
      </c>
      <c r="D80" s="170" t="s">
        <v>26</v>
      </c>
      <c r="E80" s="2324" t="e">
        <f ca="1">IF(C80&gt;=200%,"增值额超过扣除项目金额200%",IF(C80&gt;=100%,"增值额超过扣除项目金额100%，未超过200%",IF(C80&gt;=50%,"增值额超过扣除项目金额50%，未超过100%",IF(C80&lt;50%,"增值额未超过扣除项目金额50%"))))</f>
        <v>#DIV/0!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#DIV/0!</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0</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0</v>
      </c>
      <c r="D93" s="2577">
        <f>'数据-取费表'!B43</f>
        <v>5.5000000000000014E-3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#DIV/0!</v>
      </c>
      <c r="D96" s="170" t="s">
        <v>26</v>
      </c>
      <c r="E96" s="2324" t="e">
        <f ca="1">IF(C96&gt;=200%,"增值额超过扣除项目金额200%",IF(C96&gt;=100%,"增值额超过扣除项目金额100%，未超过200%",IF(C96&gt;=50%,"增值额超过扣除项目金额50%，未超过100%",IF(C96&lt;50%,"增值额未超过扣除项目金额50%"))))</f>
        <v>#DIV/0!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#DIV/0!</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收益法 (元)</v>
      </c>
      <c r="D101" s="2586" t="str">
        <f>D4</f>
        <v>收益法 (元)</v>
      </c>
      <c r="E101" s="3626" t="s">
        <v>1431</v>
      </c>
      <c r="F101" s="3583"/>
      <c r="G101" s="1827" t="s">
        <v>1432</v>
      </c>
      <c r="H101" s="2595">
        <f ca="1">H118</f>
        <v>2</v>
      </c>
      <c r="I101" s="129"/>
    </row>
    <row r="102" spans="1:35" ht="18.75" customHeight="1">
      <c r="A102" s="3585" t="s">
        <v>1433</v>
      </c>
      <c r="B102" s="2584" t="s">
        <v>1432</v>
      </c>
      <c r="C102" s="2585">
        <f ca="1">IF(D32="楼面单价",ROUND(C19,0),C19)</f>
        <v>2</v>
      </c>
      <c r="D102" s="2586">
        <f ca="1">IF(D32="楼面单价",ROUND(D19,0),D19)</f>
        <v>2</v>
      </c>
      <c r="E102" s="3626"/>
      <c r="F102" s="3583"/>
      <c r="G102" s="1827" t="s">
        <v>1434</v>
      </c>
      <c r="H102" s="2555">
        <f ca="1">I118</f>
        <v>16536</v>
      </c>
      <c r="I102" s="129"/>
    </row>
    <row r="103" spans="1:35" ht="42.75" customHeight="1">
      <c r="A103" s="3585"/>
      <c r="B103" s="2584" t="s">
        <v>1434</v>
      </c>
      <c r="C103" s="2587">
        <f ca="1">C20</f>
        <v>16536</v>
      </c>
      <c r="D103" s="2588">
        <f ca="1">D20</f>
        <v>16536</v>
      </c>
      <c r="E103" s="3620" t="s">
        <v>1435</v>
      </c>
      <c r="F103" s="3621"/>
      <c r="G103" s="1828" t="s">
        <v>1436</v>
      </c>
      <c r="H103" s="2595">
        <f>IF(D36="正常操作",H104+H105+H106,H105+H106)</f>
        <v>0</v>
      </c>
      <c r="I103" s="129"/>
    </row>
    <row r="104" spans="1:35" ht="18.75" customHeight="1">
      <c r="A104" s="3585" t="s">
        <v>1437</v>
      </c>
      <c r="B104" s="2589" t="s">
        <v>1432</v>
      </c>
      <c r="C104" s="2590">
        <f ca="1">H118</f>
        <v>2</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16536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2</v>
      </c>
      <c r="I107" s="129"/>
    </row>
    <row r="108" spans="1:35" ht="18.75" customHeight="1">
      <c r="A108" s="129"/>
      <c r="B108" s="129"/>
      <c r="C108" s="129"/>
      <c r="D108" s="129"/>
      <c r="E108" s="3582"/>
      <c r="F108" s="3583"/>
      <c r="G108" s="1827" t="s">
        <v>1434</v>
      </c>
      <c r="H108" s="2555">
        <f ca="1">IF(H107=H101,H102,ROUND(H107*10000/'数据-汇总表'!E3,0))</f>
        <v>16536</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房地产</v>
      </c>
      <c r="B118" s="2329">
        <f>M18</f>
        <v>1</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v>
      </c>
      <c r="I118" s="2329">
        <f ca="1">ROUND(IF(D32="楼面单价",C32,H118*10000/B118),0)</f>
        <v>16536</v>
      </c>
    </row>
    <row r="119" spans="1:27" ht="18.75" customHeight="1">
      <c r="A119" s="3553" t="s">
        <v>1452</v>
      </c>
      <c r="B119" s="3553"/>
      <c r="C119" s="3553"/>
      <c r="D119" s="3593" t="e">
        <f ca="1">NUMBERSTRING(INT(D118*10000),2)&amp;"元整"</f>
        <v>#REF!</v>
      </c>
      <c r="E119" s="3595"/>
      <c r="F119" s="3593" t="e">
        <f ca="1">NUMBERSTRING(INT(F118*10000),2)&amp;"元整"</f>
        <v>#REF!</v>
      </c>
      <c r="G119" s="3595"/>
      <c r="H119" s="3593" t="str">
        <f ca="1">NUMBERSTRING(INT(H118*10000),2)&amp;"元整"</f>
        <v>贰万元整</v>
      </c>
      <c r="I119" s="3595"/>
    </row>
    <row r="120" spans="1:27" ht="18.75" customHeight="1">
      <c r="A120" s="3617" t="str">
        <f>IF(项目基本情况!B9="房地产市场价值","",MID(E103,3,LEN(E103)-2))</f>
        <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
      </c>
      <c r="B122" s="3584"/>
      <c r="C122" s="3584"/>
      <c r="D122" s="3617">
        <f ca="1">H107</f>
        <v>2</v>
      </c>
      <c r="E122" s="3618"/>
      <c r="F122" s="3618"/>
      <c r="G122" s="3618"/>
      <c r="H122" s="3618"/>
      <c r="I122" s="3619"/>
      <c r="AA122" s="725"/>
    </row>
    <row r="123" spans="1:27" ht="18.75" customHeight="1">
      <c r="A123" s="3553" t="s">
        <v>1452</v>
      </c>
      <c r="B123" s="3553"/>
      <c r="C123" s="3553"/>
      <c r="D123" s="3593" t="str">
        <f ca="1">NUMBERSTRING(INT(D122*10000),2)&amp;"元整"</f>
        <v>贰万元整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t="e">
        <f ca="1">IF(D2="——",C52,C52-E2)</f>
        <v>#DIV/0!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t="e">
        <f ca="1">ROUND(B2*10000/(IF(B1="",'数据-汇总表'!E3,INDIRECT("'数据-取费表'!k"&amp;$G$1))),0)</f>
        <v>#DIV/0!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0</v>
      </c>
      <c r="D19" s="849">
        <f ca="1">D9+D10</f>
        <v>1</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4.0000000000000002E-4</v>
      </c>
      <c r="E22" s="236" t="s">
        <v>1498</v>
      </c>
      <c r="F22" s="237">
        <f ca="1">'数据-取费表'!B40</f>
        <v>3.6499999999999998E-2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ROUND((C5+C19+C20)*F27*'数据-取费表'!B21/'数据-取费表'!B20,0)</f>
        <v>#DIV/0!</v>
      </c>
      <c r="D28" s="235"/>
      <c r="E28" s="236"/>
      <c r="F28" s="246"/>
      <c r="G28" s="247"/>
    </row>
    <row r="29" spans="1:7" s="214" customFormat="1" ht="13.5" customHeight="1">
      <c r="A29" s="780"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5.2900000000000003E-2</v>
      </c>
      <c r="D30" s="236" t="s">
        <v>1514</v>
      </c>
      <c r="E30" s="241"/>
      <c r="F30" s="237">
        <f>'数据-取费表'!B41</f>
        <v>5.5500000000000008E-2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0</v>
      </c>
      <c r="D37" s="217">
        <f ca="1">D19</f>
        <v>1</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0</v>
      </c>
      <c r="D41" s="235">
        <f ca="1">C44</f>
        <v>4.0000000000000002E-4</v>
      </c>
      <c r="E41" s="236" t="s">
        <v>1539</v>
      </c>
      <c r="F41" s="237">
        <f ca="1">F22</f>
        <v>3.6499999999999998E-2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0</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1327">
        <f>ROUND(F30/(1+'数据-取费表'!C42),4)</f>
        <v>5.2900000000000003E-2</v>
      </c>
      <c r="D48" s="236" t="s">
        <v>1539</v>
      </c>
      <c r="E48" s="232"/>
      <c r="F48" s="237">
        <f>F30</f>
        <v>5.5500000000000008E-2</v>
      </c>
      <c r="G48" s="234" t="s">
        <v>1552</v>
      </c>
    </row>
    <row r="49" spans="1:7" ht="16.5" customHeight="1">
      <c r="A49" s="255" t="s">
        <v>1518</v>
      </c>
      <c r="B49" s="210" t="s">
        <v>1553</v>
      </c>
      <c r="C49" s="232" t="e">
        <f ca="1">ROUND((C33+C39+C41+C45)/(1-C40-D41-D45-C48),0)</f>
        <v>#DIV/0!</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#DIV/0!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t="e">
        <f ca="1">ROUND(IF(D2="——",C52/10000,C52/10000-E2),4)</f>
        <v>#DIV/0!</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200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200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200</v>
      </c>
      <c r="D10" s="845">
        <f ca="1">IF(B1="",'数据-汇总表'!E6,IF(INDIRECT("'数据-取费表'!c"&amp;$G$1)="住宅",INDIRECT("'数据-取费表'!s"&amp;$G$1),INDIRECT("'数据-取费表'!k"&amp;$G$1)+INDIRECT("'数据-取费表'!s"&amp;$G$1)))</f>
        <v>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200</v>
      </c>
      <c r="D19" s="849">
        <f ca="1">D9+D10</f>
        <v>1</v>
      </c>
      <c r="E19" s="211">
        <f>'数据-取费表'!B31</f>
        <v>200</v>
      </c>
      <c r="F19" s="231"/>
      <c r="G19" s="1856"/>
    </row>
    <row r="20" spans="1:7" s="214" customFormat="1" ht="13.5" customHeight="1">
      <c r="A20" s="255" t="s">
        <v>1574</v>
      </c>
      <c r="B20" s="210" t="s">
        <v>1575</v>
      </c>
      <c r="C20" s="232">
        <f ca="1">ROUND((C5+C19)*F20,0)</f>
        <v>4</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30</v>
      </c>
      <c r="D22" s="235">
        <f ca="1">C26</f>
        <v>4.0000000000000002E-4</v>
      </c>
      <c r="E22" s="236" t="s">
        <v>1579</v>
      </c>
      <c r="F22" s="237">
        <f ca="1">'数据-取费表'!B40</f>
        <v>3.6499999999999998E-2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15</v>
      </c>
      <c r="D24" s="238"/>
      <c r="E24" s="238"/>
      <c r="F24" s="239"/>
      <c r="G24" s="240" t="s">
        <v>1586</v>
      </c>
    </row>
    <row r="25" spans="1:7" s="214" customFormat="1" ht="24">
      <c r="A25" s="780" t="s">
        <v>1476</v>
      </c>
      <c r="B25" s="215" t="s">
        <v>1587</v>
      </c>
      <c r="C25" s="1128">
        <f ca="1">ROUND(IF('数据-取费表'!B22&lt;=1,C20*F22*'数据-取费表'!B22/2,C20*(POWER((1+F22),'数据-取费表'!B22/2)-1)),0)</f>
        <v>0</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t="e">
        <f ca="1">ROUND(C21*F27,4)</f>
        <v>#DIV/0!</v>
      </c>
      <c r="D29" s="235"/>
      <c r="E29" s="236"/>
      <c r="F29" s="246"/>
      <c r="G29" s="247"/>
    </row>
    <row r="30" spans="1:7" s="214" customFormat="1" ht="13.5" customHeight="1">
      <c r="A30" s="255" t="s">
        <v>1518</v>
      </c>
      <c r="B30" s="210" t="s">
        <v>1519</v>
      </c>
      <c r="C30" s="235">
        <f>ROUND(F30/(1+'数据-取费表'!C42),4)</f>
        <v>5.2900000000000003E-2</v>
      </c>
      <c r="D30" s="236" t="s">
        <v>1514</v>
      </c>
      <c r="E30" s="241"/>
      <c r="F30" s="237">
        <f>'数据-取费表'!B41</f>
        <v>5.5500000000000008E-2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2813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2500</v>
      </c>
      <c r="D34" s="217"/>
      <c r="E34" s="220"/>
      <c r="F34" s="257"/>
      <c r="G34" s="219"/>
    </row>
    <row r="35" spans="1:7" ht="13.5" customHeight="1">
      <c r="A35" s="780" t="s">
        <v>351</v>
      </c>
      <c r="B35" s="215" t="s">
        <v>1527</v>
      </c>
      <c r="C35" s="220">
        <f ca="1">ROUND(C34*F35,0)</f>
        <v>75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200</v>
      </c>
      <c r="D37" s="217">
        <f ca="1">D19</f>
        <v>1</v>
      </c>
      <c r="E37" s="249">
        <f>'数据-取费表'!B35</f>
        <v>200</v>
      </c>
      <c r="F37" s="259"/>
      <c r="G37" s="261"/>
    </row>
    <row r="38" spans="1:7" ht="13.5" customHeight="1">
      <c r="A38" s="780" t="s">
        <v>354</v>
      </c>
      <c r="B38" s="215" t="s">
        <v>1533</v>
      </c>
      <c r="C38" s="220">
        <f ca="1">ROUND(C34*F38,0)</f>
        <v>38</v>
      </c>
      <c r="D38" s="220"/>
      <c r="E38" s="220"/>
      <c r="F38" s="259">
        <f>'数据-取费表'!B36</f>
        <v>1.4999999999999999E-2</v>
      </c>
      <c r="G38" s="219" t="s">
        <v>1528</v>
      </c>
    </row>
    <row r="39" spans="1:7" s="214" customFormat="1" ht="13.5" customHeight="1">
      <c r="A39" s="255" t="s">
        <v>1534</v>
      </c>
      <c r="B39" s="210" t="s">
        <v>1535</v>
      </c>
      <c r="C39" s="232">
        <f ca="1">ROUND(C33*F20,0)</f>
        <v>28</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104</v>
      </c>
      <c r="D41" s="235">
        <f ca="1">C44</f>
        <v>4.0000000000000002E-4</v>
      </c>
      <c r="E41" s="236" t="s">
        <v>1539</v>
      </c>
      <c r="F41" s="237">
        <f ca="1">F22</f>
        <v>3.6499999999999998E-2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103</v>
      </c>
      <c r="D42" s="238"/>
      <c r="E42" s="238"/>
      <c r="F42" s="239"/>
      <c r="G42" s="3633" t="s">
        <v>1591</v>
      </c>
    </row>
    <row r="43" spans="1:7" ht="13.5" customHeight="1">
      <c r="A43" s="780" t="s">
        <v>347</v>
      </c>
      <c r="B43" s="215" t="s">
        <v>1545</v>
      </c>
      <c r="C43" s="238">
        <f ca="1">ROUND(IF('数据-取费表'!B22&lt;=1,C39*F22*'数据-取费表'!B20/2,C39*(POWER((1+F22),'数据-取费表'!B20/2)-1)),0)</f>
        <v>1</v>
      </c>
      <c r="D43" s="238"/>
      <c r="E43" s="238"/>
      <c r="F43" s="239"/>
      <c r="G43" s="3634"/>
    </row>
    <row r="44" spans="1:7" ht="13.5" customHeight="1">
      <c r="A44" s="780"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262">
        <f>ROUND(F30/(1+'数据-取费表'!C42),4)</f>
        <v>5.2900000000000003E-2</v>
      </c>
      <c r="D48" s="236" t="s">
        <v>1539</v>
      </c>
      <c r="E48" s="232"/>
      <c r="F48" s="237">
        <f>F30</f>
        <v>5.5500000000000008E-2</v>
      </c>
      <c r="G48" s="234" t="s">
        <v>1552</v>
      </c>
    </row>
    <row r="49" spans="1:7" ht="16.5" customHeight="1">
      <c r="A49" s="255" t="s">
        <v>1518</v>
      </c>
      <c r="B49" s="210" t="s">
        <v>1592</v>
      </c>
      <c r="C49" s="232" t="e">
        <f ca="1">ROUND((C33+C39+C41+C45)/(1-C40-D41-D45-C48),0)</f>
        <v>#DIV/0!</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#DIV/0!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4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t="e">
        <f ca="1">C32</f>
        <v>#DIV/0!</v>
      </c>
      <c r="C2" s="276" t="s">
        <v>1595</v>
      </c>
      <c r="D2" s="276"/>
      <c r="E2" s="2806"/>
      <c r="F2" s="2806"/>
      <c r="G2" s="2806"/>
      <c r="H2" s="2806"/>
      <c r="I2" s="2806"/>
      <c r="J2" s="2806"/>
      <c r="K2" s="2806"/>
    </row>
    <row r="3" spans="1:33" ht="18" customHeight="1" thickBot="1">
      <c r="A3" s="203" t="s">
        <v>1464</v>
      </c>
      <c r="B3" s="204" t="e">
        <f ca="1">ROUND(B2*10000/IF(C1="",'数据-汇总表'!E3,INDIRECT("'数据-取费表'!K"&amp;$K$1)),0)</f>
        <v>#DIV/0!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358</v>
      </c>
      <c r="B29" s="822" t="s">
        <v>1643</v>
      </c>
      <c r="C29" s="284" t="e">
        <f ca="1">ROUND((1+C24)*F28*'数据-取费表'!B24/'数据-取费表'!B20,4)</f>
        <v>#DIV/0!</v>
      </c>
      <c r="D29" s="284"/>
      <c r="E29" s="285"/>
      <c r="F29" s="290"/>
      <c r="G29" s="131" t="s">
        <v>1644</v>
      </c>
      <c r="H29" s="807"/>
      <c r="I29" s="807"/>
      <c r="J29" s="807"/>
      <c r="K29" s="808"/>
    </row>
    <row r="30" spans="1:33" s="291" customFormat="1" ht="13.5" customHeight="1">
      <c r="A30" s="800" t="s">
        <v>359</v>
      </c>
      <c r="B30" s="822" t="s">
        <v>1645</v>
      </c>
      <c r="C30" s="292" t="e">
        <f ca="1">ROUND((C21+C22+C23)*F28,0)</f>
        <v>#DIV/0!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5.5500000000000008E-2</v>
      </c>
      <c r="G31" s="838" t="s">
        <v>1648</v>
      </c>
      <c r="H31" s="839"/>
      <c r="I31" s="839"/>
      <c r="J31" s="839"/>
      <c r="K31" s="840"/>
    </row>
    <row r="32" spans="1:33" s="799" customFormat="1" ht="13.5" customHeight="1" thickBot="1">
      <c r="A32" s="828" t="s">
        <v>1649</v>
      </c>
      <c r="B32" s="829"/>
      <c r="C32" s="830" t="e">
        <f ca="1">ROUND((C4-C21-C22-C23-C25-C28-C31)/(1+C24+D25+D28),0)</f>
        <v>#DIV/0!</v>
      </c>
      <c r="D32" s="829"/>
      <c r="E32" s="829"/>
      <c r="F32" s="829"/>
      <c r="G32" s="831" t="s">
        <v>1650</v>
      </c>
      <c r="H32" s="829"/>
      <c r="I32" s="829"/>
      <c r="J32" s="829"/>
      <c r="K32" s="832"/>
    </row>
    <row r="34" spans="8:8" ht="12.75" customHeight="1"/>
    <row r="44" spans="8:8">
      <c r="H44" s="781" t="s">
        <v>3384</v>
      </c>
    </row>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0</v>
      </c>
      <c r="D6" s="155" t="s">
        <v>2109</v>
      </c>
      <c r="E6" s="302" t="s">
        <v>696</v>
      </c>
      <c r="F6" s="303">
        <f ca="1">INDIRECT("'数据-取费表'!u"&amp;$G$1)</f>
        <v>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5.5500000000000008E-2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3344</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销售费用×((1+利率)^(建设周期÷2)-1)</v>
      </c>
      <c r="E24" s="302" t="s">
        <v>747</v>
      </c>
      <c r="F24" s="331">
        <f ca="1">'数据-取费表'!B40</f>
        <v>3.6499999999999998E-2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5.2900000000000003E-2</v>
      </c>
      <c r="D28" s="323" t="s">
        <v>765</v>
      </c>
      <c r="E28" s="302" t="s">
        <v>712</v>
      </c>
      <c r="F28" s="322">
        <f>'数据-取费表'!B41</f>
        <v>5.5500000000000008E-2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5.5500000000000008E-2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5.5500000000000008E-2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topLeftCell="A13" zoomScale="70" zoomScaleNormal="70" zoomScaleSheetLayoutView="70" workbookViewId="0">
      <selection activeCell="I33" sqref="I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3387</v>
      </c>
      <c r="D1" s="1362" t="s">
        <v>43</v>
      </c>
      <c r="E1" s="1363" t="s">
        <v>678</v>
      </c>
      <c r="F1" s="1062">
        <f ca="1">J53</f>
        <v>36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1.6536</v>
      </c>
      <c r="C2" s="1387" t="s">
        <v>879</v>
      </c>
      <c r="D2" s="1471">
        <f ca="1">C40+J29+L46</f>
        <v>16536</v>
      </c>
      <c r="E2" s="1388" t="s">
        <v>880</v>
      </c>
      <c r="F2" s="1389"/>
      <c r="G2" s="2706"/>
      <c r="H2" s="2695"/>
      <c r="I2" s="2695"/>
      <c r="J2" s="2695"/>
      <c r="K2" s="2696"/>
      <c r="L2" s="2695"/>
      <c r="M2" s="2695"/>
    </row>
    <row r="3" spans="1:37" ht="18" customHeight="1" thickBot="1">
      <c r="A3" s="1390" t="s">
        <v>881</v>
      </c>
      <c r="B3" s="1391">
        <f ca="1">IF(ISERROR(D2/F43),0,ROUND(D2/F43,0))</f>
        <v>16536</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720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720</v>
      </c>
      <c r="D6" s="155" t="s">
        <v>2106</v>
      </c>
      <c r="E6" s="302" t="s">
        <v>696</v>
      </c>
      <c r="F6" s="303">
        <f ca="1">INDIRECT("'数据-取费表'!u"&amp;$G$1)</f>
        <v>60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1</v>
      </c>
      <c r="G7" s="1384"/>
      <c r="H7" s="304"/>
      <c r="I7" s="3639"/>
      <c r="J7" s="306"/>
      <c r="K7" s="307"/>
      <c r="L7" s="302" t="s">
        <v>697</v>
      </c>
      <c r="M7" s="303">
        <f ca="1">F7</f>
        <v>1</v>
      </c>
    </row>
    <row r="8" spans="1:37" ht="18" customHeight="1">
      <c r="A8" s="304"/>
      <c r="B8" s="3639"/>
      <c r="C8" s="306"/>
      <c r="D8" s="307"/>
      <c r="E8" s="302" t="s">
        <v>698</v>
      </c>
      <c r="F8" s="303">
        <f ca="1">INDIRECT("'数据-取费表'!ai"&amp;$G$1)</f>
        <v>12</v>
      </c>
      <c r="G8" s="1384"/>
      <c r="H8" s="304"/>
      <c r="I8" s="3639"/>
      <c r="J8" s="306"/>
      <c r="K8" s="307"/>
      <c r="L8" s="302" t="s">
        <v>698</v>
      </c>
      <c r="M8" s="303">
        <f ca="1">INDIRECT("'数据-取费表'!ai"&amp;$G$1)</f>
        <v>12</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3391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2515</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2500</v>
      </c>
      <c r="D14" s="1345" t="s">
        <v>708</v>
      </c>
      <c r="E14" s="1342"/>
      <c r="F14" s="319"/>
      <c r="G14" s="1384"/>
      <c r="H14" s="982" t="s">
        <v>398</v>
      </c>
      <c r="I14" s="302" t="s">
        <v>709</v>
      </c>
      <c r="J14" s="21">
        <f ca="1">C29</f>
        <v>3144</v>
      </c>
      <c r="K14" s="12"/>
      <c r="L14" s="807"/>
      <c r="M14" s="808"/>
    </row>
    <row r="15" spans="1:37" s="1397" customFormat="1" ht="18" customHeight="1" thickBot="1">
      <c r="A15" s="982" t="s">
        <v>399</v>
      </c>
      <c r="B15" s="302" t="s">
        <v>710</v>
      </c>
      <c r="C15" s="21">
        <f ca="1">ROUND(C14*F15,0)</f>
        <v>75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200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5.5500000000000008E-2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2813</v>
      </c>
      <c r="D19" s="131" t="s">
        <v>726</v>
      </c>
      <c r="E19" s="1360"/>
      <c r="F19" s="23"/>
      <c r="G19" s="1384"/>
      <c r="H19" s="982" t="s">
        <v>399</v>
      </c>
      <c r="I19" s="302" t="s">
        <v>727</v>
      </c>
      <c r="J19" s="21">
        <f ca="1">IF(K19="按租金收入计税",ROUND(J6*M19/(1+'数据-取费表'!C42),0),ROUND(C29*M19*0.7,0))</f>
        <v>0</v>
      </c>
      <c r="K19" s="1370" t="s">
        <v>3344</v>
      </c>
      <c r="L19" s="302" t="s">
        <v>712</v>
      </c>
      <c r="M19" s="322">
        <f>IF(K19="按租金收入计税",'数据-取费表'!B51,'数据-取费表'!B50)</f>
        <v>0.12</v>
      </c>
    </row>
    <row r="20" spans="1:37" s="1397" customFormat="1" ht="18" customHeight="1">
      <c r="A20" s="982" t="s">
        <v>402</v>
      </c>
      <c r="B20" s="302" t="s">
        <v>728</v>
      </c>
      <c r="C20" s="21">
        <f ca="1">ROUND(C19*F20,0)</f>
        <v>28</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104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销售费用×((1+利率)^(建设周期÷2)-1)</v>
      </c>
      <c r="E24" s="302" t="s">
        <v>747</v>
      </c>
      <c r="F24" s="331">
        <f ca="1">'数据-取费表'!B40</f>
        <v>3.6499999999999998E-2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5.2900000000000003E-2</v>
      </c>
      <c r="D28" s="323" t="s">
        <v>765</v>
      </c>
      <c r="E28" s="302" t="s">
        <v>712</v>
      </c>
      <c r="F28" s="322">
        <f>'数据-取费表'!B41</f>
        <v>5.5500000000000008E-2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3144</v>
      </c>
      <c r="D29" s="1092"/>
      <c r="E29" s="1090"/>
      <c r="F29" s="1093"/>
      <c r="G29" s="1396"/>
      <c r="H29" s="334" t="s">
        <v>396</v>
      </c>
      <c r="I29" s="335" t="s">
        <v>768</v>
      </c>
      <c r="J29" s="336">
        <f ca="1">ROUND(J26/(1+F40)^F41,0)</f>
        <v>0</v>
      </c>
      <c r="K29" s="337" t="s">
        <v>769</v>
      </c>
      <c r="L29" s="338"/>
      <c r="M29" s="339">
        <f ca="1">INDIRECT("'数据-取费表'!k"&amp;$G$1)</f>
        <v>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120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38</v>
      </c>
      <c r="D32" s="1344" t="s">
        <v>724</v>
      </c>
      <c r="E32" s="302" t="s">
        <v>712</v>
      </c>
      <c r="F32" s="331">
        <f>'数据-取费表'!B41</f>
        <v>5.5500000000000008E-2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82</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600</v>
      </c>
      <c r="D39" s="1095" t="s">
        <v>773</v>
      </c>
      <c r="E39" s="1096"/>
      <c r="F39" s="1097"/>
      <c r="G39" s="1384"/>
      <c r="H39" s="2700"/>
      <c r="I39" s="1398"/>
      <c r="J39" s="1399"/>
      <c r="K39" s="2704"/>
      <c r="L39" s="2700"/>
      <c r="M39" s="2700"/>
    </row>
    <row r="40" spans="1:18" ht="18" customHeight="1">
      <c r="A40" s="299" t="s">
        <v>395</v>
      </c>
      <c r="B40" s="300" t="s">
        <v>774</v>
      </c>
      <c r="C40" s="301">
        <f ca="1">ROUND(C39*(1-((1+F42)/(1+F40))^F41)/(F40-F42),0)</f>
        <v>16536</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v>48</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ROUND(C40/F43,0)</f>
        <v>16536</v>
      </c>
      <c r="D43" s="337" t="s">
        <v>777</v>
      </c>
      <c r="E43" s="338" t="s">
        <v>778</v>
      </c>
      <c r="F43" s="339">
        <f ca="1">INDIRECT("'数据-取费表'!k"&amp;$G$1)</f>
        <v>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3360</v>
      </c>
      <c r="B45" s="1400"/>
      <c r="C45" s="1472">
        <f ca="1">ROUND((C68-C40)/10000,4)</f>
        <v>-1.6536</v>
      </c>
      <c r="D45" s="3432" t="s">
        <v>3361</v>
      </c>
      <c r="E45" s="1400"/>
      <c r="F45" s="1400"/>
      <c r="O45" s="1403" t="s">
        <v>808</v>
      </c>
      <c r="P45" s="1461"/>
      <c r="Q45" s="1461"/>
      <c r="R45" s="1461"/>
    </row>
    <row r="46" spans="1:18" s="1384" customFormat="1" ht="13.5" thickBot="1">
      <c r="A46" s="1404" t="s">
        <v>809</v>
      </c>
      <c r="C46" s="1405">
        <f ca="1">ROUND(C45,0)</f>
        <v>-2</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3392</v>
      </c>
      <c r="K47" s="1416" t="s">
        <v>816</v>
      </c>
      <c r="L47" s="1417">
        <f ca="1">INDIRECT("'数据-取费表'!d"&amp;$G$1)</f>
        <v>70</v>
      </c>
      <c r="M47" s="1380" t="str">
        <f>IF(ISNUMBER(FIND("住宅",C1)),"住宅","非住宅")</f>
        <v>非住宅</v>
      </c>
      <c r="O47" s="1418" t="s">
        <v>403</v>
      </c>
      <c r="P47" s="1419" t="s">
        <v>817</v>
      </c>
      <c r="Q47" s="1420">
        <f ca="1">C40+J29</f>
        <v>16536</v>
      </c>
      <c r="R47" s="1420" t="s">
        <v>818</v>
      </c>
    </row>
    <row r="48" spans="1:18" s="1384" customFormat="1" ht="28.5" thickBot="1">
      <c r="A48" s="1110" t="s">
        <v>438</v>
      </c>
      <c r="B48" s="300" t="s">
        <v>692</v>
      </c>
      <c r="C48" s="1359">
        <f ca="1">C49+C53+C55</f>
        <v>0</v>
      </c>
      <c r="D48" s="1112"/>
      <c r="E48" s="1113"/>
      <c r="F48" s="962"/>
      <c r="G48" s="722"/>
      <c r="H48" s="723"/>
      <c r="I48" s="1421" t="s">
        <v>819</v>
      </c>
      <c r="J48" s="1422" t="s">
        <v>3393</v>
      </c>
      <c r="K48" s="1423" t="s">
        <v>820</v>
      </c>
      <c r="L48" s="1424">
        <f ca="1">INDIRECT("'数据-取费表'!f"&amp;$G$1)</f>
        <v>36</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2011</v>
      </c>
      <c r="K49" s="1423" t="s">
        <v>824</v>
      </c>
      <c r="L49" s="1427"/>
      <c r="O49" s="1428" t="s">
        <v>405</v>
      </c>
      <c r="P49" s="1419" t="s">
        <v>825</v>
      </c>
      <c r="Q49" s="1420">
        <f ca="1">C29</f>
        <v>3144</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48</v>
      </c>
      <c r="K51" s="1434" t="s">
        <v>830</v>
      </c>
      <c r="L51" s="1435">
        <f ca="1">ROUND(-PV(INDIRECT("'数据-取费表'!h"&amp;$G$1),J51,(C39-C13*C76),0),0)</f>
        <v>10661</v>
      </c>
      <c r="M51" s="1436"/>
      <c r="O51" s="1428" t="s">
        <v>407</v>
      </c>
      <c r="P51" s="1419" t="s">
        <v>831</v>
      </c>
      <c r="Q51" s="1431">
        <f>J52</f>
        <v>0.06</v>
      </c>
      <c r="R51" s="1420"/>
    </row>
    <row r="52" spans="1:18" s="1384" customFormat="1" ht="13.5" thickBot="1">
      <c r="A52" s="977"/>
      <c r="B52" s="979"/>
      <c r="C52" s="980"/>
      <c r="D52" s="953"/>
      <c r="E52" s="981" t="s">
        <v>699</v>
      </c>
      <c r="F52" s="1054"/>
      <c r="I52" s="1437" t="s">
        <v>832</v>
      </c>
      <c r="J52" s="1438">
        <v>0.06</v>
      </c>
      <c r="K52" s="1437" t="s">
        <v>833</v>
      </c>
      <c r="L52" s="1438"/>
      <c r="O52" s="1428" t="s">
        <v>408</v>
      </c>
      <c r="P52" s="1419" t="s">
        <v>834</v>
      </c>
      <c r="Q52" s="1420">
        <f ca="1">J53</f>
        <v>36</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36</v>
      </c>
      <c r="K53" s="3636" t="s">
        <v>837</v>
      </c>
      <c r="L53" s="3637"/>
      <c r="O53" s="1418" t="s">
        <v>409</v>
      </c>
      <c r="P53" s="1419" t="s">
        <v>838</v>
      </c>
      <c r="Q53" s="1420">
        <f ca="1">Q47+Q48</f>
        <v>16536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2515</v>
      </c>
      <c r="D56" s="1447"/>
      <c r="E56" s="1448"/>
      <c r="F56" s="1440"/>
      <c r="I56" s="1449" t="s">
        <v>842</v>
      </c>
      <c r="J56" s="1450" t="s">
        <v>3385</v>
      </c>
      <c r="K56" s="1421" t="s">
        <v>843</v>
      </c>
      <c r="L56" s="1424" t="str">
        <f ca="1">IF(L48&lt;J51,"——",L48-J51)</f>
        <v>——</v>
      </c>
      <c r="O56" s="1418" t="s">
        <v>403</v>
      </c>
      <c r="P56" s="1419" t="s">
        <v>817</v>
      </c>
      <c r="Q56" s="1420">
        <f ca="1">C40+J29</f>
        <v>16536</v>
      </c>
      <c r="R56" s="1420" t="s">
        <v>818</v>
      </c>
    </row>
    <row r="57" spans="1:18" s="1384" customFormat="1" ht="24.75" thickBot="1">
      <c r="A57" s="1451"/>
      <c r="B57" s="950" t="s">
        <v>767</v>
      </c>
      <c r="C57" s="238">
        <f ca="1">C29</f>
        <v>3144</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5.5500000000000008E-2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16536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f ca="1">C40+J29</f>
        <v>16536</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10661</v>
      </c>
      <c r="R67" s="1420" t="s">
        <v>870</v>
      </c>
    </row>
    <row r="68" spans="1:18" s="1384" customFormat="1" ht="16.5" thickBot="1">
      <c r="A68" s="947" t="s">
        <v>395</v>
      </c>
      <c r="B68" s="948" t="s">
        <v>774</v>
      </c>
      <c r="C68" s="301">
        <f ca="1">ROUND(C67*(1-((1+F70)/(1+F68))^F69)/(F68-F70),0)</f>
        <v>0</v>
      </c>
      <c r="D68" s="965" t="s">
        <v>758</v>
      </c>
      <c r="E68" s="950" t="s">
        <v>759</v>
      </c>
      <c r="F68" s="312">
        <f ca="1">F40</f>
        <v>0.04</v>
      </c>
      <c r="O68" s="1428" t="s">
        <v>406</v>
      </c>
      <c r="P68" s="1467" t="s">
        <v>871</v>
      </c>
      <c r="Q68" s="1420">
        <f ca="1">ROUND(Q69-Q70*Q71,0)</f>
        <v>462</v>
      </c>
      <c r="R68" s="1420" t="s">
        <v>414</v>
      </c>
    </row>
    <row r="69" spans="1:18" s="1384" customFormat="1" ht="13.5" thickBot="1">
      <c r="A69" s="951"/>
      <c r="B69" s="952"/>
      <c r="C69" s="306"/>
      <c r="D69" s="970" t="s">
        <v>762</v>
      </c>
      <c r="E69" s="950" t="s">
        <v>763</v>
      </c>
      <c r="F69" s="333">
        <f>F41</f>
        <v>48</v>
      </c>
      <c r="O69" s="1428" t="s">
        <v>411</v>
      </c>
      <c r="P69" s="1467" t="s">
        <v>872</v>
      </c>
      <c r="Q69" s="1420">
        <f ca="1">C39</f>
        <v>600</v>
      </c>
      <c r="R69" s="1420" t="s">
        <v>818</v>
      </c>
    </row>
    <row r="70" spans="1:18" s="1384" customFormat="1" ht="13.5" thickBot="1">
      <c r="A70" s="954"/>
      <c r="B70" s="955"/>
      <c r="C70" s="310"/>
      <c r="D70" s="966"/>
      <c r="E70" s="950" t="s">
        <v>766</v>
      </c>
      <c r="F70" s="1054"/>
      <c r="O70" s="1428" t="s">
        <v>412</v>
      </c>
      <c r="P70" s="1467" t="s">
        <v>873</v>
      </c>
      <c r="Q70" s="1420">
        <f ca="1">C13</f>
        <v>2515</v>
      </c>
      <c r="R70" s="1420" t="s">
        <v>818</v>
      </c>
    </row>
    <row r="71" spans="1:18" s="1384" customFormat="1" ht="13.5" thickBot="1">
      <c r="A71" s="971" t="s">
        <v>396</v>
      </c>
      <c r="B71" s="972" t="s">
        <v>776</v>
      </c>
      <c r="C71" s="336">
        <f ca="1">ROUND(C68/F71,0)</f>
        <v>0</v>
      </c>
      <c r="D71" s="973" t="s">
        <v>777</v>
      </c>
      <c r="E71" s="974" t="s">
        <v>778</v>
      </c>
      <c r="F71" s="339">
        <f ca="1">F43</f>
        <v>1</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138</v>
      </c>
      <c r="D75" s="1384"/>
      <c r="E75" s="1384"/>
      <c r="F75" s="1384"/>
      <c r="K75" s="1402"/>
      <c r="L75" s="1384"/>
      <c r="O75" s="1418" t="s">
        <v>409</v>
      </c>
      <c r="P75" s="1419" t="s">
        <v>838</v>
      </c>
      <c r="Q75" s="1420">
        <f ca="1">Q65+Q66</f>
        <v>16536</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v>
      </c>
    </row>
    <row r="80" spans="1:18">
      <c r="B80" s="340" t="s">
        <v>800</v>
      </c>
      <c r="C80" s="274">
        <f ca="1">ROUND(C75/C39,3)</f>
        <v>0.23</v>
      </c>
    </row>
    <row r="81" spans="2:3">
      <c r="B81" s="270" t="s">
        <v>801</v>
      </c>
      <c r="C81" s="238"/>
    </row>
    <row r="82" spans="2:3">
      <c r="B82" s="273" t="s">
        <v>802</v>
      </c>
      <c r="C82" s="275">
        <f ca="1">1-C83</f>
        <v>0.84799999999999998</v>
      </c>
    </row>
    <row r="83" spans="2:3">
      <c r="B83" s="273" t="s">
        <v>803</v>
      </c>
      <c r="C83" s="274">
        <f ca="1">ROUND(C13/C40,3)</f>
        <v>0.152</v>
      </c>
    </row>
  </sheetData>
  <sheetProtection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3367</v>
      </c>
      <c r="E2" s="3444"/>
      <c r="F2" s="2846"/>
      <c r="G2" s="2847"/>
      <c r="H2" s="2848"/>
      <c r="I2" s="2849"/>
      <c r="J2" s="3647" t="s">
        <v>2321</v>
      </c>
      <c r="K2" s="3648"/>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9" t="s">
        <v>2331</v>
      </c>
      <c r="K3" s="3650"/>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9" t="s">
        <v>2333</v>
      </c>
      <c r="K4" s="3650"/>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5" t="s">
        <v>2337</v>
      </c>
      <c r="B6" s="3656"/>
      <c r="C6" s="3657"/>
      <c r="D6" s="2870"/>
      <c r="E6" s="2871"/>
      <c r="F6" s="2872"/>
      <c r="G6" s="2873"/>
      <c r="H6" s="2848"/>
      <c r="I6" s="2849"/>
      <c r="J6" s="3641">
        <v>1</v>
      </c>
      <c r="K6" s="3642"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1"/>
      <c r="K7" s="3643"/>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8" t="s">
        <v>2351</v>
      </c>
      <c r="C8" s="3659"/>
      <c r="D8" s="2889" t="s">
        <v>2352</v>
      </c>
      <c r="E8" s="2890" t="s">
        <v>2353</v>
      </c>
      <c r="F8" s="2891" t="s">
        <v>2354</v>
      </c>
      <c r="G8" s="2892"/>
      <c r="H8" s="2848"/>
      <c r="I8" s="2849"/>
      <c r="J8" s="3641"/>
      <c r="K8" s="3643"/>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8" t="s">
        <v>2357</v>
      </c>
      <c r="C9" s="3659"/>
      <c r="D9" s="2889">
        <f>ROUND(D6*E9,0)</f>
        <v>0</v>
      </c>
      <c r="E9" s="2893"/>
      <c r="F9" s="2894" t="s">
        <v>2358</v>
      </c>
      <c r="G9" s="2873"/>
      <c r="H9" s="2848"/>
      <c r="I9" s="2849"/>
      <c r="J9" s="3641"/>
      <c r="K9" s="3643"/>
      <c r="L9" s="2883" t="s">
        <v>2359</v>
      </c>
      <c r="M9" s="2884"/>
      <c r="N9" s="2860"/>
      <c r="O9" s="2885"/>
      <c r="P9" s="2885"/>
      <c r="Q9" s="2886">
        <v>365</v>
      </c>
      <c r="R9" s="2887">
        <f t="shared" si="0"/>
        <v>0</v>
      </c>
      <c r="S9" s="2841"/>
      <c r="T9" s="2841"/>
      <c r="U9" s="2841"/>
      <c r="V9" s="2849"/>
    </row>
    <row r="10" spans="1:22" s="2853" customFormat="1" ht="13.15" customHeight="1">
      <c r="A10" s="2888">
        <v>2</v>
      </c>
      <c r="B10" s="3658" t="s">
        <v>2360</v>
      </c>
      <c r="C10" s="3659"/>
      <c r="D10" s="2889">
        <f>ROUND(D6*E10,0)</f>
        <v>0</v>
      </c>
      <c r="E10" s="2893"/>
      <c r="F10" s="2894" t="s">
        <v>2361</v>
      </c>
      <c r="G10" s="2873"/>
      <c r="H10" s="2848"/>
      <c r="I10" s="2849"/>
      <c r="J10" s="3641"/>
      <c r="K10" s="3643"/>
      <c r="L10" s="2883" t="s">
        <v>2362</v>
      </c>
      <c r="M10" s="2884"/>
      <c r="N10" s="2860"/>
      <c r="O10" s="2885"/>
      <c r="P10" s="2885"/>
      <c r="Q10" s="2886">
        <v>365</v>
      </c>
      <c r="R10" s="2887">
        <f t="shared" si="0"/>
        <v>0</v>
      </c>
      <c r="S10" s="2841"/>
      <c r="T10" s="2841"/>
      <c r="U10" s="2841"/>
      <c r="V10" s="2849"/>
    </row>
    <row r="11" spans="1:22" s="2853" customFormat="1" ht="13.15" customHeight="1">
      <c r="A11" s="2888">
        <v>3</v>
      </c>
      <c r="B11" s="3658" t="s">
        <v>2363</v>
      </c>
      <c r="C11" s="3659"/>
      <c r="D11" s="2889">
        <f>D12+D14+D15+D16</f>
        <v>0</v>
      </c>
      <c r="E11" s="2895" t="e">
        <f>D11/D6</f>
        <v>#DIV/0!</v>
      </c>
      <c r="F11" s="2891"/>
      <c r="G11" s="2892"/>
      <c r="H11" s="2848"/>
      <c r="I11" s="2849"/>
      <c r="J11" s="3641"/>
      <c r="K11" s="3643"/>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1" t="s">
        <v>2366</v>
      </c>
      <c r="C12" s="3652"/>
      <c r="D12" s="2897">
        <f>ROUND(D13*1.2%*(1-30%),0)</f>
        <v>0</v>
      </c>
      <c r="E12" s="2898">
        <v>1.2E-2</v>
      </c>
      <c r="F12" s="2891" t="s">
        <v>2367</v>
      </c>
      <c r="G12" s="2892"/>
      <c r="H12" s="2848"/>
      <c r="I12" s="2849"/>
      <c r="J12" s="3641"/>
      <c r="K12" s="3643"/>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1"/>
      <c r="K13" s="3643"/>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1" t="s">
        <v>2372</v>
      </c>
      <c r="C14" s="3652"/>
      <c r="D14" s="2897">
        <f>ROUND(E14*B5/10000,0)</f>
        <v>0</v>
      </c>
      <c r="E14" s="2886"/>
      <c r="F14" s="2891" t="s">
        <v>2373</v>
      </c>
      <c r="G14" s="2892"/>
      <c r="H14" s="2848"/>
      <c r="I14" s="2849"/>
      <c r="J14" s="3641"/>
      <c r="K14" s="3644"/>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1" t="s">
        <v>2376</v>
      </c>
      <c r="C15" s="3652"/>
      <c r="D15" s="2897">
        <f>ROUND(D6*E15,0)</f>
        <v>0</v>
      </c>
      <c r="E15" s="2898">
        <v>5.5E-2</v>
      </c>
      <c r="F15" s="2891" t="s">
        <v>2377</v>
      </c>
      <c r="G15" s="2873"/>
      <c r="H15" s="2848"/>
      <c r="I15" s="2849"/>
      <c r="J15" s="3641">
        <v>2</v>
      </c>
      <c r="K15" s="3642"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1" t="s">
        <v>2385</v>
      </c>
      <c r="C16" s="3652"/>
      <c r="D16" s="2908">
        <f>D6*E16</f>
        <v>0</v>
      </c>
      <c r="E16" s="2909"/>
      <c r="F16" s="2894" t="s">
        <v>2386</v>
      </c>
      <c r="G16" s="2873"/>
      <c r="H16" s="2848"/>
      <c r="I16" s="2849"/>
      <c r="J16" s="3641"/>
      <c r="K16" s="3643"/>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3" t="s">
        <v>2388</v>
      </c>
      <c r="C17" s="3654"/>
      <c r="D17" s="2911">
        <f>ROUND(D6*E17,0)</f>
        <v>0</v>
      </c>
      <c r="E17" s="2912"/>
      <c r="F17" s="2913" t="s">
        <v>2389</v>
      </c>
      <c r="G17" s="2873"/>
      <c r="H17" s="2848"/>
      <c r="I17" s="2849"/>
      <c r="J17" s="3641"/>
      <c r="K17" s="3643"/>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1"/>
      <c r="K18" s="3643"/>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1"/>
      <c r="K19" s="3644"/>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1">
        <v>3</v>
      </c>
      <c r="K20" s="3642"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1"/>
      <c r="K21" s="3643"/>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1"/>
      <c r="K22" s="3643"/>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1"/>
      <c r="K23" s="3643"/>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1"/>
      <c r="K24" s="3644"/>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5">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7" t="s">
        <v>2321</v>
      </c>
      <c r="K32" s="3648"/>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9" t="s">
        <v>2331</v>
      </c>
      <c r="K33" s="3650"/>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9" t="s">
        <v>2333</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1">
        <v>1</v>
      </c>
      <c r="K36" s="3642"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1"/>
      <c r="K37" s="3643"/>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1"/>
      <c r="K38" s="3643"/>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1"/>
      <c r="K39" s="3643"/>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1"/>
      <c r="K40" s="3644"/>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5">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1.6536</v>
      </c>
      <c r="C2" s="1872" t="s">
        <v>1651</v>
      </c>
      <c r="D2" s="1873" t="s">
        <v>1652</v>
      </c>
      <c r="E2" s="2607">
        <f>SUM(E6:E13)</f>
        <v>1</v>
      </c>
      <c r="F2" s="2707"/>
      <c r="G2" s="1489"/>
      <c r="H2" s="1489"/>
      <c r="I2" s="1489"/>
      <c r="J2" s="1489"/>
      <c r="K2" s="1489"/>
      <c r="L2" s="1489"/>
      <c r="M2" s="1489"/>
      <c r="N2" s="1489"/>
      <c r="O2" s="1489"/>
      <c r="P2" s="1489"/>
      <c r="Q2" s="1489"/>
      <c r="R2" s="1489"/>
      <c r="S2" s="1489"/>
    </row>
    <row r="3" spans="1:22" ht="15.75">
      <c r="A3" s="1870" t="s">
        <v>686</v>
      </c>
      <c r="B3" s="2601">
        <f ca="1">ROUND(B2*10000/E2,0)</f>
        <v>16536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1.6536</v>
      </c>
      <c r="C6" s="1872" t="s">
        <v>1651</v>
      </c>
      <c r="D6" s="2709"/>
      <c r="E6" s="2606">
        <f>IF(OR(A6=0,F6="否"),0,'数据-取费表'!K6+'数据-取费表'!S6)</f>
        <v>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44961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44961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5"/>
      <c r="M5" s="2716"/>
      <c r="N5" s="2716"/>
      <c r="O5" s="2716"/>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44961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44961</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3341</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44961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3362</v>
      </c>
      <c r="C37" s="1154" t="s">
        <v>0</v>
      </c>
      <c r="D37" s="1155"/>
      <c r="E37" s="1156"/>
      <c r="F37" s="1157"/>
      <c r="G37" s="1158"/>
      <c r="H37" s="1159"/>
      <c r="I37" s="1156"/>
      <c r="J37" s="1159"/>
      <c r="K37" s="568"/>
      <c r="L37" s="2724"/>
      <c r="M37" s="2725"/>
      <c r="N37" s="2716"/>
      <c r="O37" s="2725"/>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3342</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44961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44961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128</v>
      </c>
      <c r="G10" s="414"/>
      <c r="H10" s="127">
        <f>ROUND(100/'数据-取费表'!G16,0)</f>
        <v>128</v>
      </c>
      <c r="I10" s="414"/>
      <c r="J10" s="127">
        <f>ROUND(100/'数据-取费表'!G16,0)</f>
        <v>128</v>
      </c>
      <c r="K10" s="620"/>
      <c r="L10" s="2719"/>
      <c r="M10" s="2720"/>
      <c r="N10" s="2720"/>
      <c r="O10" s="2773"/>
      <c r="P10" s="3665"/>
      <c r="Q10" s="1343" t="str">
        <f t="shared" si="6"/>
        <v>土地使用年限（年）</v>
      </c>
      <c r="R10" s="701" t="s">
        <v>14</v>
      </c>
      <c r="S10" s="702">
        <f t="shared" si="0"/>
        <v>128</v>
      </c>
      <c r="T10" s="701" t="s">
        <v>14</v>
      </c>
      <c r="U10" s="702">
        <f t="shared" si="1"/>
        <v>128</v>
      </c>
      <c r="V10" s="701" t="s">
        <v>14</v>
      </c>
      <c r="W10" s="702">
        <f t="shared" si="2"/>
        <v>128</v>
      </c>
      <c r="X10" s="703"/>
      <c r="Y10" s="3540"/>
      <c r="Z10" s="52" t="str">
        <f t="shared" si="7"/>
        <v>土地使用年限（年）</v>
      </c>
      <c r="AA10" s="704">
        <f t="shared" si="3"/>
        <v>0.78125</v>
      </c>
      <c r="AB10" s="704">
        <f t="shared" si="4"/>
        <v>0.78125</v>
      </c>
      <c r="AC10" s="704">
        <f t="shared" si="5"/>
        <v>0.78125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5" t="str">
        <f>A47</f>
        <v>比较价值（元/平方米）</v>
      </c>
      <c r="Q47" s="3665"/>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2" t="str">
        <f>A48</f>
        <v>估价对象XX用房的比较价值（楼面单价，元/平方米）</v>
      </c>
      <c r="Q48" s="3663"/>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76"/>
      <c r="H56" s="366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1</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44961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128</v>
      </c>
      <c r="G10" s="383"/>
      <c r="H10" s="127">
        <f>ROUND(100/'数据-取费表'!G16,0)</f>
        <v>128</v>
      </c>
      <c r="I10" s="383"/>
      <c r="J10" s="127">
        <f>ROUND(100/'数据-取费表'!G16,0)</f>
        <v>128</v>
      </c>
      <c r="K10" s="620"/>
      <c r="L10" s="2719"/>
      <c r="M10" s="2720"/>
      <c r="N10" s="2720"/>
      <c r="O10" s="2773"/>
      <c r="P10" s="3665"/>
      <c r="Q10" s="1343" t="str">
        <f t="shared" si="6"/>
        <v>土地使用年限（年）</v>
      </c>
      <c r="R10" s="701" t="s">
        <v>14</v>
      </c>
      <c r="S10" s="702">
        <f t="shared" si="0"/>
        <v>128</v>
      </c>
      <c r="T10" s="701" t="s">
        <v>14</v>
      </c>
      <c r="U10" s="702">
        <f t="shared" si="1"/>
        <v>128</v>
      </c>
      <c r="V10" s="701" t="s">
        <v>14</v>
      </c>
      <c r="W10" s="702">
        <f t="shared" si="2"/>
        <v>128</v>
      </c>
      <c r="X10" s="703"/>
      <c r="Y10" s="3540"/>
      <c r="Z10" s="52" t="str">
        <f t="shared" si="7"/>
        <v>土地使用年限（年）</v>
      </c>
      <c r="AA10" s="704">
        <f t="shared" si="3"/>
        <v>0.78125</v>
      </c>
      <c r="AB10" s="704">
        <f t="shared" si="4"/>
        <v>0.78125</v>
      </c>
      <c r="AC10" s="704">
        <f t="shared" si="5"/>
        <v>0.78125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5" t="str">
        <f>A42</f>
        <v>比较价值（元/平方米）</v>
      </c>
      <c r="Q42" s="3665"/>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2" t="str">
        <f>A43</f>
        <v>估价对象XX用房的比较价值（楼面单价，元/平方米）</v>
      </c>
      <c r="Q43" s="3663"/>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76"/>
      <c r="H51" s="366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1</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3245</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44"/>
      <c r="X9" s="3362" t="s">
        <v>3276</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3246</v>
      </c>
      <c r="B12" s="3305" t="s">
        <v>3247</v>
      </c>
      <c r="C12" s="3306"/>
      <c r="D12" s="3307" t="s">
        <v>3248</v>
      </c>
      <c r="E12" s="3308" t="s">
        <v>3249</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3250</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3251</v>
      </c>
      <c r="G14" s="3312" t="s">
        <v>3251</v>
      </c>
      <c r="H14" s="3312" t="s">
        <v>3251</v>
      </c>
      <c r="I14" s="3312" t="s">
        <v>3251</v>
      </c>
      <c r="J14" s="3312" t="s">
        <v>3251</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3252</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3253</v>
      </c>
      <c r="B17" s="3321" t="s">
        <v>3254</v>
      </c>
      <c r="C17" s="3331">
        <f>ROUND(IF(OR(E2="工业",E2="公共服务"),1,IF(AND(E18=0,E19=0),1,IF(AND(E18=J24,E19=G19),0.8,IF(E19=0,1+E17*(-0.2),1+E17*G17*(-0.2))))),4)</f>
        <v>1</v>
      </c>
      <c r="D17" s="3322" t="s">
        <v>3255</v>
      </c>
      <c r="E17" s="3331" t="e">
        <f>ROUND(G18/I18,2)</f>
        <v>#DIV/0!</v>
      </c>
      <c r="F17" s="3322" t="s">
        <v>3258</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3256</v>
      </c>
      <c r="E18" s="3329"/>
      <c r="F18" s="3324" t="s">
        <v>3259</v>
      </c>
      <c r="G18" s="3328">
        <f>ROUND(1-(1/(POWER(1+G24,E18))),4)</f>
        <v>0</v>
      </c>
      <c r="H18" s="3324" t="s">
        <v>3261</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3257</v>
      </c>
      <c r="E19" s="3338"/>
      <c r="F19" s="3339" t="s">
        <v>3260</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3262</v>
      </c>
      <c r="B20" s="167" t="s">
        <v>1994</v>
      </c>
      <c r="C20" s="3325" t="e">
        <f>ROUND(IF(F21="与级别开发程度一致",0,(G21-E21)/C21),0)</f>
        <v>#DIV/0!</v>
      </c>
      <c r="D20" s="3341" t="s">
        <v>1998</v>
      </c>
      <c r="E20" s="3342"/>
      <c r="F20" s="3755" t="s">
        <v>1995</v>
      </c>
      <c r="G20" s="375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44961</v>
      </c>
      <c r="H23" s="3343" t="s">
        <v>3264</v>
      </c>
      <c r="I23" s="3344" t="str">
        <f>IF(H23="季度增幅（自定义）",SUMIF(N25:N28,E2,O25:O28),"")</f>
        <v/>
      </c>
      <c r="J23" s="3446" t="s">
        <v>3263</v>
      </c>
      <c r="K23" s="1125"/>
      <c r="L23" s="2055" t="s">
        <v>2004</v>
      </c>
      <c r="M23" s="1328">
        <f>ROUND(SUMIF(地价!B2:G2,E2,地价!B16:G16),0)</f>
        <v>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3343</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3265</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3266</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3270</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3268</v>
      </c>
      <c r="G33" s="2099"/>
      <c r="H33" s="2099"/>
      <c r="I33" s="2099"/>
      <c r="J33" s="2100"/>
      <c r="K33" s="1119"/>
      <c r="L33" s="3349" t="s">
        <v>3271</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3272</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3269</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3273</v>
      </c>
      <c r="L36" s="3447">
        <f ca="1">'数据-取费表'!B40</f>
        <v>3.6499999999999998E-2</v>
      </c>
      <c r="M36" s="3358">
        <f ca="1">ROUND($L$36*(1+M31),3)</f>
        <v>4.5999999999999999E-2</v>
      </c>
      <c r="N36" s="3358">
        <f ca="1">ROUND($L$36*(1+N31),3)</f>
        <v>4.3999999999999997E-2</v>
      </c>
      <c r="O36" s="3358">
        <f ca="1">ROUND($L$36*(1+O31),3)</f>
        <v>4.2000000000000003E-2</v>
      </c>
      <c r="P36" s="3358">
        <f ca="1">ROUND($L$36*(1+P31),3)</f>
        <v>0.04</v>
      </c>
      <c r="Q36" s="3358">
        <f ca="1">ROUND($L$36*(1+Q31),3)</f>
        <v>4.2000000000000003E-2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3274</v>
      </c>
      <c r="L37" s="3357">
        <f ca="1">L36+K38</f>
        <v>4.1499999999999995E-2</v>
      </c>
      <c r="M37" s="3358">
        <f ca="1">ROUND($L$37*(1+M31),3)</f>
        <v>5.1999999999999998E-2</v>
      </c>
      <c r="N37" s="3358">
        <f t="shared" ref="N37:Q37" ca="1" si="3">ROUND($L$37*(1+N31),3)</f>
        <v>0.05</v>
      </c>
      <c r="O37" s="3358">
        <f t="shared" ca="1" si="3"/>
        <v>4.8000000000000001E-2</v>
      </c>
      <c r="P37" s="3358">
        <f t="shared" ca="1" si="3"/>
        <v>4.5999999999999999E-2</v>
      </c>
      <c r="Q37" s="3358">
        <f t="shared" ca="1"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3267</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3275</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3277</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3277</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3277</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3278</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3279</v>
      </c>
      <c r="B92" s="3366"/>
      <c r="C92" s="3366" t="s">
        <v>3288</v>
      </c>
      <c r="D92" s="3366" t="s">
        <v>3289</v>
      </c>
      <c r="E92" s="3348" t="s">
        <v>3290</v>
      </c>
      <c r="F92" s="3381" t="s">
        <v>3291</v>
      </c>
      <c r="G92" s="3366" t="s">
        <v>3292</v>
      </c>
      <c r="H92" s="3388" t="s">
        <v>3295</v>
      </c>
      <c r="I92" s="3366" t="s">
        <v>3296</v>
      </c>
      <c r="J92" s="3389" t="s">
        <v>3297</v>
      </c>
      <c r="K92" s="3389" t="s">
        <v>3298</v>
      </c>
      <c r="L92" s="3389" t="s">
        <v>3299</v>
      </c>
      <c r="M92" s="3389" t="s">
        <v>3300</v>
      </c>
      <c r="N92" s="3389" t="s">
        <v>3301</v>
      </c>
    </row>
    <row r="93" spans="1:37" ht="24">
      <c r="A93" s="3369" t="s">
        <v>3280</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3281</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3277</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3282</v>
      </c>
      <c r="B96" s="3385" t="s">
        <v>3293</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3283</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3284</v>
      </c>
      <c r="B98" s="3386" t="s">
        <v>3294</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3285</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3286</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3287</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1" t="s">
        <v>3302</v>
      </c>
      <c r="B103" s="3751"/>
      <c r="C103" s="3751"/>
      <c r="D103" s="3751"/>
      <c r="E103" s="3751"/>
      <c r="F103" s="3751"/>
      <c r="G103" s="3751"/>
      <c r="H103" s="3751"/>
      <c r="I103" s="3751"/>
      <c r="J103" s="3751"/>
      <c r="K103" s="3390"/>
      <c r="L103" s="3390"/>
      <c r="M103" s="3390"/>
      <c r="N103" s="3390"/>
    </row>
    <row r="104" spans="1:14">
      <c r="A104" s="3752" t="s">
        <v>3303</v>
      </c>
      <c r="B104" s="3752" t="s">
        <v>3304</v>
      </c>
      <c r="C104" s="3391" t="s">
        <v>3305</v>
      </c>
      <c r="D104" s="3392"/>
      <c r="E104" s="3392"/>
      <c r="F104" s="3392"/>
      <c r="G104" s="3392"/>
      <c r="H104" s="3392"/>
      <c r="I104" s="3392"/>
      <c r="J104" s="3393"/>
      <c r="K104" s="3394"/>
      <c r="L104" s="3394"/>
      <c r="M104" s="3394"/>
      <c r="N104" s="3394"/>
    </row>
    <row r="105" spans="1:14">
      <c r="A105" s="3752"/>
      <c r="B105" s="3752"/>
      <c r="C105" s="3395" t="s">
        <v>3306</v>
      </c>
      <c r="D105" s="3395" t="s">
        <v>3307</v>
      </c>
      <c r="E105" s="3395" t="s">
        <v>3308</v>
      </c>
      <c r="F105" s="3395" t="s">
        <v>3309</v>
      </c>
      <c r="G105" s="3395" t="s">
        <v>3310</v>
      </c>
      <c r="H105" s="3395" t="s">
        <v>3311</v>
      </c>
      <c r="I105" s="3395" t="s">
        <v>3312</v>
      </c>
      <c r="J105" s="3395" t="s">
        <v>3313</v>
      </c>
      <c r="K105" s="3395" t="s">
        <v>3314</v>
      </c>
      <c r="L105" s="3395" t="s">
        <v>3315</v>
      </c>
      <c r="M105" s="3395" t="s">
        <v>3316</v>
      </c>
      <c r="N105" s="3395" t="s">
        <v>3317</v>
      </c>
    </row>
    <row r="106" spans="1:14">
      <c r="A106" s="3738" t="s">
        <v>3318</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3276</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1" t="s">
        <v>3319</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3320</v>
      </c>
      <c r="B116" s="3416">
        <f>G3</f>
        <v>0</v>
      </c>
      <c r="C116" s="3400" t="s">
        <v>3321</v>
      </c>
      <c r="D116" s="3401">
        <f>SUMPRODUCT((A118:A122=F116)*(B117:M117=H116)*B118:M122)</f>
        <v>0</v>
      </c>
      <c r="E116" s="2000" t="s">
        <v>3322</v>
      </c>
      <c r="F116" s="3402">
        <f>E2</f>
        <v>0</v>
      </c>
      <c r="G116" s="2000" t="s">
        <v>3323</v>
      </c>
      <c r="H116" s="3402">
        <f>G2</f>
        <v>0</v>
      </c>
      <c r="I116" s="2000"/>
      <c r="J116" s="3403"/>
      <c r="K116" s="3403"/>
      <c r="L116" s="3403"/>
      <c r="M116" s="3403"/>
      <c r="N116" s="3398"/>
    </row>
    <row r="117" spans="1:14">
      <c r="A117" s="3404"/>
      <c r="B117" s="3405" t="s">
        <v>3324</v>
      </c>
      <c r="C117" s="3405" t="s">
        <v>3325</v>
      </c>
      <c r="D117" s="3405" t="s">
        <v>3326</v>
      </c>
      <c r="E117" s="3406" t="s">
        <v>3327</v>
      </c>
      <c r="F117" s="3406" t="s">
        <v>3328</v>
      </c>
      <c r="G117" s="3406" t="s">
        <v>3329</v>
      </c>
      <c r="H117" s="3407" t="s">
        <v>3330</v>
      </c>
      <c r="I117" s="3407" t="s">
        <v>3331</v>
      </c>
      <c r="J117" s="3408" t="s">
        <v>3332</v>
      </c>
      <c r="K117" s="3408" t="s">
        <v>3333</v>
      </c>
      <c r="L117" s="3408" t="s">
        <v>3334</v>
      </c>
      <c r="M117" s="3409" t="s">
        <v>3335</v>
      </c>
      <c r="N117" s="3398"/>
    </row>
    <row r="118" spans="1:14">
      <c r="A118" s="3410" t="s">
        <v>3336</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3337</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3338</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3339</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6" t="s">
        <v>2611</v>
      </c>
      <c r="B20" s="3761" t="s">
        <v>2632</v>
      </c>
      <c r="C20" s="3103" t="s">
        <v>2443</v>
      </c>
      <c r="D20" s="3104"/>
      <c r="E20" s="3105">
        <v>1</v>
      </c>
      <c r="F20" s="3106" t="s">
        <v>2444</v>
      </c>
      <c r="G20" s="3106"/>
    </row>
    <row r="21" spans="1:13" ht="19.5" customHeight="1">
      <c r="A21" s="3767"/>
      <c r="B21" s="3760"/>
      <c r="C21" s="3107" t="s">
        <v>2445</v>
      </c>
      <c r="D21" s="3108"/>
      <c r="E21" s="3109">
        <v>1</v>
      </c>
      <c r="F21" s="3106" t="s">
        <v>2446</v>
      </c>
      <c r="G21" s="3106"/>
    </row>
    <row r="22" spans="1:13" ht="19.5" customHeight="1">
      <c r="A22" s="3767"/>
      <c r="B22" s="3760"/>
      <c r="C22" s="3107" t="s">
        <v>2447</v>
      </c>
      <c r="D22" s="3108"/>
      <c r="E22" s="3109">
        <v>0.9</v>
      </c>
      <c r="F22" s="3106" t="s">
        <v>2448</v>
      </c>
      <c r="G22" s="3106"/>
    </row>
    <row r="23" spans="1:13" ht="19.5" customHeight="1">
      <c r="A23" s="3767"/>
      <c r="B23" s="3760"/>
      <c r="C23" s="3107" t="s">
        <v>2449</v>
      </c>
      <c r="D23" s="3108"/>
      <c r="E23" s="3109">
        <v>0.9</v>
      </c>
      <c r="F23" s="3106" t="s">
        <v>2450</v>
      </c>
      <c r="G23" s="3106"/>
    </row>
    <row r="24" spans="1:13" ht="19.5" customHeight="1">
      <c r="A24" s="3767"/>
      <c r="B24" s="3760"/>
      <c r="C24" s="3107" t="s">
        <v>2451</v>
      </c>
      <c r="D24" s="3108"/>
      <c r="E24" s="3109">
        <v>0.8</v>
      </c>
      <c r="F24" s="3106" t="s">
        <v>2452</v>
      </c>
      <c r="G24" s="3106"/>
    </row>
    <row r="25" spans="1:13" ht="19.5" customHeight="1" thickBot="1">
      <c r="A25" s="3768"/>
      <c r="B25" s="376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3" t="s">
        <v>2635</v>
      </c>
      <c r="B27" s="3761" t="s">
        <v>2616</v>
      </c>
      <c r="C27" s="3103" t="s">
        <v>2456</v>
      </c>
      <c r="D27" s="3104"/>
      <c r="E27" s="3105">
        <v>1</v>
      </c>
      <c r="F27" s="3106" t="s">
        <v>2457</v>
      </c>
      <c r="G27" s="3106"/>
    </row>
    <row r="28" spans="1:13" ht="19.5" customHeight="1">
      <c r="A28" s="3764"/>
      <c r="B28" s="3760"/>
      <c r="C28" s="3107" t="s">
        <v>2458</v>
      </c>
      <c r="D28" s="3108"/>
      <c r="E28" s="3109">
        <v>1</v>
      </c>
      <c r="F28" s="3106" t="s">
        <v>2459</v>
      </c>
      <c r="G28" s="3106"/>
    </row>
    <row r="29" spans="1:13" ht="19.5" customHeight="1">
      <c r="A29" s="3764"/>
      <c r="B29" s="3760"/>
      <c r="C29" s="3107" t="s">
        <v>2460</v>
      </c>
      <c r="D29" s="3108"/>
      <c r="E29" s="3109">
        <v>0.8</v>
      </c>
      <c r="F29" s="3106" t="s">
        <v>2461</v>
      </c>
      <c r="G29" s="3106"/>
    </row>
    <row r="30" spans="1:13" ht="19.5" customHeight="1">
      <c r="A30" s="3764"/>
      <c r="B30" s="3760"/>
      <c r="C30" s="3107" t="s">
        <v>2462</v>
      </c>
      <c r="D30" s="3108"/>
      <c r="E30" s="3109">
        <v>0.8</v>
      </c>
      <c r="F30" s="3106" t="s">
        <v>2463</v>
      </c>
      <c r="G30" s="3106"/>
    </row>
    <row r="31" spans="1:13" ht="19.5" customHeight="1">
      <c r="A31" s="3764"/>
      <c r="B31" s="3760"/>
      <c r="C31" s="3107" t="s">
        <v>2464</v>
      </c>
      <c r="D31" s="3108"/>
      <c r="E31" s="3109">
        <v>0.8</v>
      </c>
      <c r="F31" s="3106" t="s">
        <v>2465</v>
      </c>
      <c r="G31" s="3106"/>
    </row>
    <row r="32" spans="1:13" ht="19.5" customHeight="1">
      <c r="A32" s="3764"/>
      <c r="B32" s="3760"/>
      <c r="C32" s="3107" t="s">
        <v>2466</v>
      </c>
      <c r="D32" s="3108"/>
      <c r="E32" s="3109">
        <v>0.7</v>
      </c>
      <c r="F32" s="3106" t="s">
        <v>2467</v>
      </c>
      <c r="G32" s="3106"/>
    </row>
    <row r="33" spans="1:7" ht="19.5" customHeight="1">
      <c r="A33" s="3764"/>
      <c r="B33" s="3760"/>
      <c r="C33" s="3107" t="s">
        <v>2468</v>
      </c>
      <c r="D33" s="3108"/>
      <c r="E33" s="3109">
        <v>0.8</v>
      </c>
      <c r="F33" s="3106" t="s">
        <v>2469</v>
      </c>
      <c r="G33" s="3106"/>
    </row>
    <row r="34" spans="1:7" ht="19.5" customHeight="1">
      <c r="A34" s="3764"/>
      <c r="B34" s="3760"/>
      <c r="C34" s="3107" t="s">
        <v>2470</v>
      </c>
      <c r="D34" s="3108"/>
      <c r="E34" s="3109">
        <v>0.6</v>
      </c>
      <c r="F34" s="3106" t="s">
        <v>2471</v>
      </c>
      <c r="G34" s="3106"/>
    </row>
    <row r="35" spans="1:7" ht="19.5" customHeight="1">
      <c r="A35" s="3764"/>
      <c r="B35" s="3760"/>
      <c r="C35" s="3107" t="s">
        <v>2472</v>
      </c>
      <c r="D35" s="3108"/>
      <c r="E35" s="3109">
        <v>0.2</v>
      </c>
      <c r="F35" s="3106" t="s">
        <v>2473</v>
      </c>
      <c r="G35" s="3106"/>
    </row>
    <row r="36" spans="1:7" ht="19.5" customHeight="1">
      <c r="A36" s="3764"/>
      <c r="B36" s="3760"/>
      <c r="C36" s="3107" t="s">
        <v>2474</v>
      </c>
      <c r="D36" s="3108"/>
      <c r="E36" s="3109">
        <v>0.2</v>
      </c>
      <c r="F36" s="3106" t="s">
        <v>2475</v>
      </c>
      <c r="G36" s="3106"/>
    </row>
    <row r="37" spans="1:7" ht="19.5" customHeight="1">
      <c r="A37" s="3764"/>
      <c r="B37" s="3758" t="s">
        <v>2636</v>
      </c>
      <c r="C37" s="3107" t="s">
        <v>2476</v>
      </c>
      <c r="D37" s="3108"/>
      <c r="E37" s="3109">
        <v>0.6</v>
      </c>
      <c r="F37" s="3106" t="s">
        <v>2477</v>
      </c>
      <c r="G37" s="3106"/>
    </row>
    <row r="38" spans="1:7" ht="19.5" customHeight="1">
      <c r="A38" s="3764"/>
      <c r="B38" s="3760"/>
      <c r="C38" s="3107" t="s">
        <v>2478</v>
      </c>
      <c r="D38" s="3108"/>
      <c r="E38" s="3109">
        <v>0.6</v>
      </c>
      <c r="F38" s="3106" t="s">
        <v>2479</v>
      </c>
      <c r="G38" s="3106"/>
    </row>
    <row r="39" spans="1:7" ht="19.5" customHeight="1" thickBot="1">
      <c r="A39" s="3765"/>
      <c r="B39" s="376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6" t="s">
        <v>2614</v>
      </c>
      <c r="B41" s="3761" t="s">
        <v>2638</v>
      </c>
      <c r="C41" s="3103" t="s">
        <v>2483</v>
      </c>
      <c r="D41" s="3104"/>
      <c r="E41" s="3105">
        <v>1</v>
      </c>
      <c r="F41" s="3106" t="s">
        <v>2484</v>
      </c>
      <c r="G41" s="3106"/>
    </row>
    <row r="42" spans="1:7" ht="19.5" customHeight="1">
      <c r="A42" s="3767"/>
      <c r="B42" s="3760"/>
      <c r="C42" s="3107" t="s">
        <v>2485</v>
      </c>
      <c r="D42" s="3108"/>
      <c r="E42" s="3109">
        <v>1</v>
      </c>
      <c r="F42" s="3106" t="s">
        <v>2486</v>
      </c>
      <c r="G42" s="3106"/>
    </row>
    <row r="43" spans="1:7" ht="19.5" customHeight="1">
      <c r="A43" s="3767"/>
      <c r="B43" s="3759"/>
      <c r="C43" s="3107" t="s">
        <v>2487</v>
      </c>
      <c r="D43" s="3108"/>
      <c r="E43" s="3109">
        <v>1.5</v>
      </c>
      <c r="F43" s="3106" t="s">
        <v>2488</v>
      </c>
      <c r="G43" s="3106"/>
    </row>
    <row r="44" spans="1:7" ht="19.5" customHeight="1">
      <c r="A44" s="3767"/>
      <c r="B44" s="3118" t="s">
        <v>2639</v>
      </c>
      <c r="C44" s="3107" t="s">
        <v>2640</v>
      </c>
      <c r="D44" s="3108"/>
      <c r="E44" s="3109">
        <v>2</v>
      </c>
      <c r="F44" s="3106" t="s">
        <v>2489</v>
      </c>
      <c r="G44" s="3106"/>
    </row>
    <row r="45" spans="1:7" ht="19.5" customHeight="1">
      <c r="A45" s="3767"/>
      <c r="B45" s="3758" t="s">
        <v>2641</v>
      </c>
      <c r="C45" s="3107" t="s">
        <v>2490</v>
      </c>
      <c r="D45" s="3108"/>
      <c r="E45" s="3109">
        <v>1</v>
      </c>
      <c r="F45" s="3106" t="s">
        <v>2491</v>
      </c>
      <c r="G45" s="3106"/>
    </row>
    <row r="46" spans="1:7" ht="19.5" customHeight="1">
      <c r="A46" s="3767"/>
      <c r="B46" s="3760"/>
      <c r="C46" s="3107" t="s">
        <v>2492</v>
      </c>
      <c r="D46" s="3108"/>
      <c r="E46" s="3109">
        <v>1</v>
      </c>
      <c r="F46" s="3106" t="s">
        <v>2493</v>
      </c>
      <c r="G46" s="3106"/>
    </row>
    <row r="47" spans="1:7" ht="19.5" customHeight="1">
      <c r="A47" s="3767"/>
      <c r="B47" s="3760"/>
      <c r="C47" s="3107" t="s">
        <v>2494</v>
      </c>
      <c r="D47" s="3108"/>
      <c r="E47" s="3109">
        <v>1</v>
      </c>
      <c r="F47" s="3106" t="s">
        <v>2495</v>
      </c>
      <c r="G47" s="3106"/>
    </row>
    <row r="48" spans="1:7" ht="19.5" customHeight="1">
      <c r="A48" s="3767"/>
      <c r="B48" s="3760"/>
      <c r="C48" s="3107" t="s">
        <v>2496</v>
      </c>
      <c r="D48" s="3108"/>
      <c r="E48" s="3109">
        <v>1</v>
      </c>
      <c r="F48" s="3106" t="s">
        <v>2497</v>
      </c>
      <c r="G48" s="3106"/>
    </row>
    <row r="49" spans="1:7" ht="19.5" customHeight="1">
      <c r="A49" s="3767"/>
      <c r="B49" s="3760"/>
      <c r="C49" s="3107" t="s">
        <v>2498</v>
      </c>
      <c r="D49" s="3108"/>
      <c r="E49" s="3109">
        <v>1</v>
      </c>
      <c r="F49" s="3106" t="s">
        <v>2499</v>
      </c>
      <c r="G49" s="3106"/>
    </row>
    <row r="50" spans="1:7" ht="19.5" customHeight="1">
      <c r="A50" s="3767"/>
      <c r="B50" s="3760"/>
      <c r="C50" s="3107" t="s">
        <v>2500</v>
      </c>
      <c r="D50" s="3108"/>
      <c r="E50" s="3109">
        <v>1</v>
      </c>
      <c r="F50" s="3106" t="s">
        <v>2501</v>
      </c>
      <c r="G50" s="3106"/>
    </row>
    <row r="51" spans="1:7" ht="19.5" customHeight="1" thickBot="1">
      <c r="A51" s="3768"/>
      <c r="B51" s="376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8" t="s">
        <v>2655</v>
      </c>
      <c r="C73" s="3092" t="s">
        <v>2656</v>
      </c>
      <c r="D73" s="3092" t="s">
        <v>2657</v>
      </c>
      <c r="E73" s="3118">
        <v>0.2</v>
      </c>
      <c r="F73" s="3118">
        <v>25</v>
      </c>
    </row>
    <row r="74" spans="1:7" ht="24">
      <c r="A74" s="3118">
        <v>2</v>
      </c>
      <c r="B74" s="3760"/>
      <c r="C74" s="3092" t="s">
        <v>2658</v>
      </c>
      <c r="D74" s="3092" t="s">
        <v>2659</v>
      </c>
      <c r="E74" s="3118">
        <v>0.2</v>
      </c>
      <c r="F74" s="3118">
        <v>25</v>
      </c>
    </row>
    <row r="75" spans="1:7" ht="24">
      <c r="A75" s="3118">
        <v>3</v>
      </c>
      <c r="B75" s="3760"/>
      <c r="C75" s="3092" t="s">
        <v>2660</v>
      </c>
      <c r="D75" s="3092" t="s">
        <v>2661</v>
      </c>
      <c r="E75" s="3118">
        <v>0.2</v>
      </c>
      <c r="F75" s="3118">
        <v>25</v>
      </c>
    </row>
    <row r="76" spans="1:7" ht="13.5">
      <c r="A76" s="3118">
        <v>4</v>
      </c>
      <c r="B76" s="3760"/>
      <c r="C76" s="3092" t="s">
        <v>2662</v>
      </c>
      <c r="D76" s="3092" t="s">
        <v>2663</v>
      </c>
      <c r="E76" s="3118">
        <v>0.15</v>
      </c>
      <c r="F76" s="3118">
        <v>20</v>
      </c>
    </row>
    <row r="77" spans="1:7" ht="24">
      <c r="A77" s="3118">
        <v>5</v>
      </c>
      <c r="B77" s="3760"/>
      <c r="C77" s="3092" t="s">
        <v>2664</v>
      </c>
      <c r="D77" s="3092" t="s">
        <v>2665</v>
      </c>
      <c r="E77" s="3118">
        <v>0.15</v>
      </c>
      <c r="F77" s="3118">
        <v>20</v>
      </c>
    </row>
    <row r="78" spans="1:7" ht="24">
      <c r="A78" s="3118">
        <v>6</v>
      </c>
      <c r="B78" s="3760"/>
      <c r="C78" s="3092" t="s">
        <v>2666</v>
      </c>
      <c r="D78" s="3092" t="s">
        <v>2667</v>
      </c>
      <c r="E78" s="3118">
        <v>0.15</v>
      </c>
      <c r="F78" s="3118">
        <v>20</v>
      </c>
    </row>
    <row r="79" spans="1:7" ht="24">
      <c r="A79" s="3118">
        <v>7</v>
      </c>
      <c r="B79" s="3760"/>
      <c r="C79" s="3092" t="s">
        <v>2668</v>
      </c>
      <c r="D79" s="3092" t="s">
        <v>2669</v>
      </c>
      <c r="E79" s="3118">
        <v>0.15</v>
      </c>
      <c r="F79" s="3118">
        <v>20</v>
      </c>
    </row>
    <row r="80" spans="1:7" ht="24">
      <c r="A80" s="3118">
        <v>8</v>
      </c>
      <c r="B80" s="3760"/>
      <c r="C80" s="3092" t="s">
        <v>2670</v>
      </c>
      <c r="D80" s="3092" t="s">
        <v>2671</v>
      </c>
      <c r="E80" s="3118">
        <v>0.1</v>
      </c>
      <c r="F80" s="3118">
        <v>15</v>
      </c>
    </row>
    <row r="81" spans="1:6" ht="24">
      <c r="A81" s="3118">
        <v>9</v>
      </c>
      <c r="B81" s="3760"/>
      <c r="C81" s="3092" t="s">
        <v>2672</v>
      </c>
      <c r="D81" s="3092" t="s">
        <v>2673</v>
      </c>
      <c r="E81" s="3118">
        <v>0.1</v>
      </c>
      <c r="F81" s="3118">
        <v>15</v>
      </c>
    </row>
    <row r="82" spans="1:6" ht="24">
      <c r="A82" s="3118">
        <v>10</v>
      </c>
      <c r="B82" s="3760"/>
      <c r="C82" s="3092" t="s">
        <v>2674</v>
      </c>
      <c r="D82" s="3092" t="s">
        <v>2675</v>
      </c>
      <c r="E82" s="3118">
        <v>0.1</v>
      </c>
      <c r="F82" s="3118">
        <v>15</v>
      </c>
    </row>
    <row r="83" spans="1:6" ht="24">
      <c r="A83" s="3118">
        <v>11</v>
      </c>
      <c r="B83" s="3760"/>
      <c r="C83" s="3092" t="s">
        <v>2676</v>
      </c>
      <c r="D83" s="3092" t="s">
        <v>2677</v>
      </c>
      <c r="E83" s="3118">
        <v>0.1</v>
      </c>
      <c r="F83" s="3118">
        <v>15</v>
      </c>
    </row>
    <row r="84" spans="1:6" ht="24">
      <c r="A84" s="3118">
        <v>12</v>
      </c>
      <c r="B84" s="3760"/>
      <c r="C84" s="3092" t="s">
        <v>2678</v>
      </c>
      <c r="D84" s="3092" t="s">
        <v>2679</v>
      </c>
      <c r="E84" s="3118">
        <v>0.1</v>
      </c>
      <c r="F84" s="3118">
        <v>15</v>
      </c>
    </row>
    <row r="85" spans="1:6" ht="13.5">
      <c r="A85" s="3118">
        <v>13</v>
      </c>
      <c r="B85" s="3760"/>
      <c r="C85" s="3092" t="s">
        <v>2680</v>
      </c>
      <c r="D85" s="3092" t="s">
        <v>2681</v>
      </c>
      <c r="E85" s="3118">
        <v>0.1</v>
      </c>
      <c r="F85" s="3118">
        <v>15</v>
      </c>
    </row>
    <row r="86" spans="1:6" ht="13.5">
      <c r="A86" s="3118">
        <v>14</v>
      </c>
      <c r="B86" s="3760"/>
      <c r="C86" s="3092" t="s">
        <v>2682</v>
      </c>
      <c r="D86" s="3092" t="s">
        <v>2683</v>
      </c>
      <c r="E86" s="3118">
        <v>0.1</v>
      </c>
      <c r="F86" s="3118">
        <v>15</v>
      </c>
    </row>
    <row r="87" spans="1:6" ht="13.5">
      <c r="A87" s="3118">
        <v>15</v>
      </c>
      <c r="B87" s="3760"/>
      <c r="C87" s="3092" t="s">
        <v>2684</v>
      </c>
      <c r="D87" s="3092" t="s">
        <v>2685</v>
      </c>
      <c r="E87" s="3118">
        <v>0.1</v>
      </c>
      <c r="F87" s="3118">
        <v>15</v>
      </c>
    </row>
    <row r="88" spans="1:6" ht="24">
      <c r="A88" s="3118">
        <v>16</v>
      </c>
      <c r="B88" s="3760"/>
      <c r="C88" s="3092" t="s">
        <v>2686</v>
      </c>
      <c r="D88" s="3092" t="s">
        <v>2687</v>
      </c>
      <c r="E88" s="3118">
        <v>0.1</v>
      </c>
      <c r="F88" s="3118">
        <v>15</v>
      </c>
    </row>
    <row r="89" spans="1:6" ht="24">
      <c r="A89" s="3118">
        <v>17</v>
      </c>
      <c r="B89" s="3759"/>
      <c r="C89" s="3092" t="s">
        <v>2688</v>
      </c>
      <c r="D89" s="3092" t="s">
        <v>2689</v>
      </c>
      <c r="E89" s="3118">
        <v>0.1</v>
      </c>
      <c r="F89" s="3118">
        <v>15</v>
      </c>
    </row>
    <row r="90" spans="1:6" ht="13.5">
      <c r="A90" s="3118">
        <v>18</v>
      </c>
      <c r="B90" s="3758" t="s">
        <v>2690</v>
      </c>
      <c r="C90" s="3092" t="s">
        <v>2691</v>
      </c>
      <c r="D90" s="3092" t="s">
        <v>2692</v>
      </c>
      <c r="E90" s="3118">
        <v>0.2</v>
      </c>
      <c r="F90" s="3118">
        <v>25</v>
      </c>
    </row>
    <row r="91" spans="1:6" ht="24">
      <c r="A91" s="3118">
        <v>19</v>
      </c>
      <c r="B91" s="3760"/>
      <c r="C91" s="3092" t="s">
        <v>2693</v>
      </c>
      <c r="D91" s="3092" t="s">
        <v>2694</v>
      </c>
      <c r="E91" s="3118">
        <v>0.2</v>
      </c>
      <c r="F91" s="3118">
        <v>25</v>
      </c>
    </row>
    <row r="92" spans="1:6" ht="13.5">
      <c r="A92" s="3118">
        <v>20</v>
      </c>
      <c r="B92" s="3760"/>
      <c r="C92" s="3092" t="s">
        <v>2695</v>
      </c>
      <c r="D92" s="3092" t="s">
        <v>2696</v>
      </c>
      <c r="E92" s="3118">
        <v>0.15</v>
      </c>
      <c r="F92" s="3118">
        <v>20</v>
      </c>
    </row>
    <row r="93" spans="1:6" ht="13.5">
      <c r="A93" s="3118">
        <v>21</v>
      </c>
      <c r="B93" s="3760"/>
      <c r="C93" s="3092" t="s">
        <v>2697</v>
      </c>
      <c r="D93" s="3092" t="s">
        <v>2698</v>
      </c>
      <c r="E93" s="3118">
        <v>0.15</v>
      </c>
      <c r="F93" s="3118">
        <v>20</v>
      </c>
    </row>
    <row r="94" spans="1:6" ht="13.5">
      <c r="A94" s="3118">
        <v>22</v>
      </c>
      <c r="B94" s="3760"/>
      <c r="C94" s="3092" t="s">
        <v>2699</v>
      </c>
      <c r="D94" s="3092" t="s">
        <v>2700</v>
      </c>
      <c r="E94" s="3118">
        <v>0.15</v>
      </c>
      <c r="F94" s="3118">
        <v>20</v>
      </c>
    </row>
    <row r="95" spans="1:6" ht="36">
      <c r="A95" s="3118">
        <v>23</v>
      </c>
      <c r="B95" s="3760"/>
      <c r="C95" s="3092" t="s">
        <v>2701</v>
      </c>
      <c r="D95" s="3092" t="s">
        <v>2702</v>
      </c>
      <c r="E95" s="3118">
        <v>0.15</v>
      </c>
      <c r="F95" s="3118">
        <v>20</v>
      </c>
    </row>
    <row r="96" spans="1:6" ht="13.5">
      <c r="A96" s="3118">
        <v>24</v>
      </c>
      <c r="B96" s="3760"/>
      <c r="C96" s="3092" t="s">
        <v>2703</v>
      </c>
      <c r="D96" s="3092" t="s">
        <v>2704</v>
      </c>
      <c r="E96" s="3118">
        <v>0.1</v>
      </c>
      <c r="F96" s="3118">
        <v>15</v>
      </c>
    </row>
    <row r="97" spans="1:6" ht="13.5">
      <c r="A97" s="3118">
        <v>25</v>
      </c>
      <c r="B97" s="3760"/>
      <c r="C97" s="3092" t="s">
        <v>2705</v>
      </c>
      <c r="D97" s="3092" t="s">
        <v>2706</v>
      </c>
      <c r="E97" s="3118">
        <v>0.1</v>
      </c>
      <c r="F97" s="3118">
        <v>15</v>
      </c>
    </row>
    <row r="98" spans="1:6" ht="24">
      <c r="A98" s="3118">
        <v>26</v>
      </c>
      <c r="B98" s="3760"/>
      <c r="C98" s="3092" t="s">
        <v>2707</v>
      </c>
      <c r="D98" s="3092" t="s">
        <v>2708</v>
      </c>
      <c r="E98" s="3118">
        <v>0.1</v>
      </c>
      <c r="F98" s="3118">
        <v>15</v>
      </c>
    </row>
    <row r="99" spans="1:6" ht="24">
      <c r="A99" s="3118">
        <v>27</v>
      </c>
      <c r="B99" s="3760"/>
      <c r="C99" s="3092" t="s">
        <v>2709</v>
      </c>
      <c r="D99" s="3092" t="s">
        <v>2710</v>
      </c>
      <c r="E99" s="3118">
        <v>0.1</v>
      </c>
      <c r="F99" s="3118">
        <v>15</v>
      </c>
    </row>
    <row r="100" spans="1:6" ht="13.5">
      <c r="A100" s="3118">
        <v>28</v>
      </c>
      <c r="B100" s="3760"/>
      <c r="C100" s="3092" t="s">
        <v>2711</v>
      </c>
      <c r="D100" s="3092" t="s">
        <v>2712</v>
      </c>
      <c r="E100" s="3118">
        <v>0.1</v>
      </c>
      <c r="F100" s="3118">
        <v>15</v>
      </c>
    </row>
    <row r="101" spans="1:6" ht="13.5">
      <c r="A101" s="3118">
        <v>29</v>
      </c>
      <c r="B101" s="3760"/>
      <c r="C101" s="3092" t="s">
        <v>2713</v>
      </c>
      <c r="D101" s="3092" t="s">
        <v>2714</v>
      </c>
      <c r="E101" s="3118">
        <v>0.1</v>
      </c>
      <c r="F101" s="3118">
        <v>15</v>
      </c>
    </row>
    <row r="102" spans="1:6" ht="13.5">
      <c r="A102" s="3118">
        <v>30</v>
      </c>
      <c r="B102" s="3760"/>
      <c r="C102" s="3092" t="s">
        <v>2715</v>
      </c>
      <c r="D102" s="3092" t="s">
        <v>2716</v>
      </c>
      <c r="E102" s="3118">
        <v>0.1</v>
      </c>
      <c r="F102" s="3118">
        <v>15</v>
      </c>
    </row>
    <row r="103" spans="1:6" ht="24">
      <c r="A103" s="3118">
        <v>31</v>
      </c>
      <c r="B103" s="3760"/>
      <c r="C103" s="3092" t="s">
        <v>2717</v>
      </c>
      <c r="D103" s="3092" t="s">
        <v>2718</v>
      </c>
      <c r="E103" s="3118">
        <v>0.1</v>
      </c>
      <c r="F103" s="3118">
        <v>15</v>
      </c>
    </row>
    <row r="104" spans="1:6" ht="24">
      <c r="A104" s="3118">
        <v>32</v>
      </c>
      <c r="B104" s="3760"/>
      <c r="C104" s="3092" t="s">
        <v>2719</v>
      </c>
      <c r="D104" s="3092" t="s">
        <v>2720</v>
      </c>
      <c r="E104" s="3118">
        <v>0.1</v>
      </c>
      <c r="F104" s="3118">
        <v>15</v>
      </c>
    </row>
    <row r="105" spans="1:6" ht="24">
      <c r="A105" s="3118">
        <v>33</v>
      </c>
      <c r="B105" s="3760"/>
      <c r="C105" s="3092" t="s">
        <v>2721</v>
      </c>
      <c r="D105" s="3092" t="s">
        <v>2722</v>
      </c>
      <c r="E105" s="3118">
        <v>0.1</v>
      </c>
      <c r="F105" s="3118">
        <v>15</v>
      </c>
    </row>
    <row r="106" spans="1:6" ht="24">
      <c r="A106" s="3118">
        <v>34</v>
      </c>
      <c r="B106" s="3759"/>
      <c r="C106" s="3092" t="s">
        <v>2723</v>
      </c>
      <c r="D106" s="3092" t="s">
        <v>2724</v>
      </c>
      <c r="E106" s="3118">
        <v>0.1</v>
      </c>
      <c r="F106" s="3118">
        <v>15</v>
      </c>
    </row>
    <row r="107" spans="1:6" ht="24">
      <c r="A107" s="3118">
        <v>35</v>
      </c>
      <c r="B107" s="3758" t="s">
        <v>2725</v>
      </c>
      <c r="C107" s="3118" t="s">
        <v>2726</v>
      </c>
      <c r="D107" s="3092" t="s">
        <v>2727</v>
      </c>
      <c r="E107" s="3118">
        <v>0.15</v>
      </c>
      <c r="F107" s="3118">
        <v>20</v>
      </c>
    </row>
    <row r="108" spans="1:6" ht="13.5">
      <c r="A108" s="3118">
        <v>36</v>
      </c>
      <c r="B108" s="3760"/>
      <c r="C108" s="3118" t="s">
        <v>2728</v>
      </c>
      <c r="D108" s="3092" t="s">
        <v>2729</v>
      </c>
      <c r="E108" s="3118">
        <v>0.15</v>
      </c>
      <c r="F108" s="3118">
        <v>20</v>
      </c>
    </row>
    <row r="109" spans="1:6" ht="13.5">
      <c r="A109" s="3118">
        <v>37</v>
      </c>
      <c r="B109" s="3760"/>
      <c r="C109" s="3118" t="s">
        <v>2730</v>
      </c>
      <c r="D109" s="3092" t="s">
        <v>2731</v>
      </c>
      <c r="E109" s="3118">
        <v>0.15</v>
      </c>
      <c r="F109" s="3118">
        <v>20</v>
      </c>
    </row>
    <row r="110" spans="1:6" ht="13.5">
      <c r="A110" s="3118">
        <v>38</v>
      </c>
      <c r="B110" s="3760"/>
      <c r="C110" s="3118" t="s">
        <v>2732</v>
      </c>
      <c r="D110" s="3092" t="s">
        <v>2733</v>
      </c>
      <c r="E110" s="3118">
        <v>0.1</v>
      </c>
      <c r="F110" s="3118">
        <v>15</v>
      </c>
    </row>
    <row r="111" spans="1:6" ht="24">
      <c r="A111" s="3118">
        <v>39</v>
      </c>
      <c r="B111" s="3760"/>
      <c r="C111" s="3118" t="s">
        <v>2734</v>
      </c>
      <c r="D111" s="3092" t="s">
        <v>2735</v>
      </c>
      <c r="E111" s="3118">
        <v>0.1</v>
      </c>
      <c r="F111" s="3118">
        <v>15</v>
      </c>
    </row>
    <row r="112" spans="1:6" ht="24">
      <c r="A112" s="3118">
        <v>40</v>
      </c>
      <c r="B112" s="3759"/>
      <c r="C112" s="3118" t="s">
        <v>2736</v>
      </c>
      <c r="D112" s="3092" t="s">
        <v>2737</v>
      </c>
      <c r="E112" s="3118">
        <v>0.1</v>
      </c>
      <c r="F112" s="3118">
        <v>15</v>
      </c>
    </row>
    <row r="113" spans="1:6" ht="13.5">
      <c r="A113" s="3118">
        <v>41</v>
      </c>
      <c r="B113" s="3757" t="s">
        <v>2738</v>
      </c>
      <c r="C113" s="3118" t="s">
        <v>2739</v>
      </c>
      <c r="D113" s="3092" t="s">
        <v>2740</v>
      </c>
      <c r="E113" s="3118">
        <v>0.1</v>
      </c>
      <c r="F113" s="3118">
        <v>15</v>
      </c>
    </row>
    <row r="114" spans="1:6" ht="13.5">
      <c r="A114" s="3118">
        <v>42</v>
      </c>
      <c r="B114" s="3757"/>
      <c r="C114" s="3118" t="s">
        <v>2741</v>
      </c>
      <c r="D114" s="3092" t="s">
        <v>2742</v>
      </c>
      <c r="E114" s="3118">
        <v>0.1</v>
      </c>
      <c r="F114" s="3118">
        <v>15</v>
      </c>
    </row>
    <row r="115" spans="1:6" ht="24">
      <c r="A115" s="3118">
        <v>43</v>
      </c>
      <c r="B115" s="3757"/>
      <c r="C115" s="3118" t="s">
        <v>2743</v>
      </c>
      <c r="D115" s="3092" t="s">
        <v>2744</v>
      </c>
      <c r="E115" s="3118">
        <v>0.1</v>
      </c>
      <c r="F115" s="3118">
        <v>15</v>
      </c>
    </row>
    <row r="116" spans="1:6" ht="13.5">
      <c r="A116" s="3118">
        <v>44</v>
      </c>
      <c r="B116" s="3758" t="s">
        <v>2745</v>
      </c>
      <c r="C116" s="3118" t="s">
        <v>2746</v>
      </c>
      <c r="D116" s="3092" t="s">
        <v>2747</v>
      </c>
      <c r="E116" s="3118">
        <v>0.1</v>
      </c>
      <c r="F116" s="3118">
        <v>15</v>
      </c>
    </row>
    <row r="117" spans="1:6" ht="24">
      <c r="A117" s="3118">
        <v>45</v>
      </c>
      <c r="B117" s="3759"/>
      <c r="C117" s="3092" t="s">
        <v>2748</v>
      </c>
      <c r="D117" s="3092" t="s">
        <v>2749</v>
      </c>
      <c r="E117" s="3118">
        <v>0.1</v>
      </c>
      <c r="F117" s="3118">
        <v>15</v>
      </c>
    </row>
    <row r="118" spans="1:6" ht="24">
      <c r="A118" s="3118">
        <v>46</v>
      </c>
      <c r="B118" s="3758" t="s">
        <v>2750</v>
      </c>
      <c r="C118" s="3118" t="s">
        <v>2751</v>
      </c>
      <c r="D118" s="3092" t="s">
        <v>2752</v>
      </c>
      <c r="E118" s="3118">
        <v>0.1</v>
      </c>
      <c r="F118" s="3118">
        <v>15</v>
      </c>
    </row>
    <row r="119" spans="1:6" ht="24">
      <c r="A119" s="3118">
        <v>47</v>
      </c>
      <c r="B119" s="3759"/>
      <c r="C119" s="3118" t="s">
        <v>2753</v>
      </c>
      <c r="D119" s="3092" t="s">
        <v>2754</v>
      </c>
      <c r="E119" s="3118">
        <v>0.1</v>
      </c>
      <c r="F119" s="3118">
        <v>15</v>
      </c>
    </row>
    <row r="120" spans="1:6" ht="13.5">
      <c r="A120" s="3118">
        <v>48</v>
      </c>
      <c r="B120" s="3758" t="s">
        <v>2755</v>
      </c>
      <c r="C120" s="3118" t="s">
        <v>2756</v>
      </c>
      <c r="D120" s="3092" t="s">
        <v>2757</v>
      </c>
      <c r="E120" s="3118">
        <v>0.1</v>
      </c>
      <c r="F120" s="3118">
        <v>15</v>
      </c>
    </row>
    <row r="121" spans="1:6" ht="13.5">
      <c r="A121" s="3118">
        <v>49</v>
      </c>
      <c r="B121" s="3759"/>
      <c r="C121" s="3118" t="s">
        <v>2758</v>
      </c>
      <c r="D121" s="3092" t="s">
        <v>2759</v>
      </c>
      <c r="E121" s="3118">
        <v>0.1</v>
      </c>
      <c r="F121" s="3118">
        <v>15</v>
      </c>
    </row>
    <row r="122" spans="1:6" ht="24">
      <c r="A122" s="3118">
        <v>50</v>
      </c>
      <c r="B122" s="3757" t="s">
        <v>2760</v>
      </c>
      <c r="C122" s="3118" t="s">
        <v>2761</v>
      </c>
      <c r="D122" s="3092" t="s">
        <v>2762</v>
      </c>
      <c r="E122" s="3118">
        <v>0.1</v>
      </c>
      <c r="F122" s="3118">
        <v>15</v>
      </c>
    </row>
    <row r="123" spans="1:6" ht="24">
      <c r="A123" s="3118">
        <v>51</v>
      </c>
      <c r="B123" s="3757"/>
      <c r="C123" s="3118" t="s">
        <v>2763</v>
      </c>
      <c r="D123" s="3092" t="s">
        <v>2764</v>
      </c>
      <c r="E123" s="3118">
        <v>0.1</v>
      </c>
      <c r="F123" s="3118">
        <v>15</v>
      </c>
    </row>
    <row r="124" spans="1:6" ht="24">
      <c r="A124" s="3118">
        <v>52</v>
      </c>
      <c r="B124" s="3757" t="s">
        <v>2765</v>
      </c>
      <c r="C124" s="3118" t="s">
        <v>2766</v>
      </c>
      <c r="D124" s="3092" t="s">
        <v>2767</v>
      </c>
      <c r="E124" s="3118">
        <v>0.1</v>
      </c>
      <c r="F124" s="3118">
        <v>15</v>
      </c>
    </row>
    <row r="125" spans="1:6" ht="24">
      <c r="A125" s="3118">
        <v>53</v>
      </c>
      <c r="B125" s="375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7" t="s">
        <v>2773</v>
      </c>
      <c r="C127" s="3118" t="s">
        <v>2774</v>
      </c>
      <c r="D127" s="3092" t="s">
        <v>2775</v>
      </c>
      <c r="E127" s="3118">
        <v>0.1</v>
      </c>
      <c r="F127" s="3118">
        <v>15</v>
      </c>
    </row>
    <row r="128" spans="1:6" ht="13.5">
      <c r="A128" s="3118">
        <v>56</v>
      </c>
      <c r="B128" s="3757"/>
      <c r="C128" s="3118" t="s">
        <v>2776</v>
      </c>
      <c r="D128" s="3092" t="s">
        <v>2777</v>
      </c>
      <c r="E128" s="3118">
        <v>0.1</v>
      </c>
      <c r="F128" s="3118">
        <v>15</v>
      </c>
    </row>
    <row r="129" spans="1:6" ht="24">
      <c r="A129" s="3118">
        <v>57</v>
      </c>
      <c r="B129" s="3757"/>
      <c r="C129" s="3118" t="s">
        <v>2778</v>
      </c>
      <c r="D129" s="3092" t="s">
        <v>2779</v>
      </c>
      <c r="E129" s="3118">
        <v>0.1</v>
      </c>
      <c r="F129" s="3118">
        <v>15</v>
      </c>
    </row>
    <row r="130" spans="1:6" ht="24">
      <c r="A130" s="3118">
        <v>58</v>
      </c>
      <c r="B130" s="3757" t="s">
        <v>2780</v>
      </c>
      <c r="C130" s="3118" t="s">
        <v>2781</v>
      </c>
      <c r="D130" s="3092" t="s">
        <v>2782</v>
      </c>
      <c r="E130" s="3118">
        <v>0.1</v>
      </c>
      <c r="F130" s="3118">
        <v>15</v>
      </c>
    </row>
    <row r="131" spans="1:6" ht="13.5">
      <c r="A131" s="3118">
        <v>59</v>
      </c>
      <c r="B131" s="3757"/>
      <c r="C131" s="3118" t="s">
        <v>2783</v>
      </c>
      <c r="D131" s="3092" t="s">
        <v>2784</v>
      </c>
      <c r="E131" s="3118">
        <v>0.1</v>
      </c>
      <c r="F131" s="3118">
        <v>15</v>
      </c>
    </row>
    <row r="132" spans="1:6" ht="13.5">
      <c r="A132" s="3118">
        <v>60</v>
      </c>
      <c r="B132" s="3758" t="s">
        <v>2785</v>
      </c>
      <c r="C132" s="3118" t="s">
        <v>2786</v>
      </c>
      <c r="D132" s="3092" t="s">
        <v>2787</v>
      </c>
      <c r="E132" s="3118">
        <v>0.1</v>
      </c>
      <c r="F132" s="3118">
        <v>15</v>
      </c>
    </row>
    <row r="133" spans="1:6" ht="13.5">
      <c r="A133" s="3118">
        <v>61</v>
      </c>
      <c r="B133" s="375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7" t="s">
        <v>2793</v>
      </c>
      <c r="C135" s="3118" t="s">
        <v>2794</v>
      </c>
      <c r="D135" s="3092" t="s">
        <v>2795</v>
      </c>
      <c r="E135" s="3118">
        <v>0.1</v>
      </c>
      <c r="F135" s="3118">
        <v>15</v>
      </c>
    </row>
    <row r="136" spans="1:6" ht="13.5">
      <c r="A136" s="3118">
        <v>64</v>
      </c>
      <c r="B136" s="375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#DIV/0!</v>
      </c>
      <c r="C2" s="2" t="s">
        <v>106</v>
      </c>
      <c r="D2" s="199"/>
      <c r="E2" s="199"/>
      <c r="F2" s="199"/>
      <c r="G2" s="199"/>
    </row>
    <row r="3" spans="1:7" s="200" customFormat="1" ht="18" customHeight="1" thickBot="1">
      <c r="A3" s="203" t="s">
        <v>58</v>
      </c>
      <c r="B3" s="204" t="e">
        <f ca="1">ROUND(B2*10000/'数据-汇总表'!E3,0)</f>
        <v>#DIV/0!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0</v>
      </c>
      <c r="D19" s="849">
        <f>'数据-汇总表'!E3</f>
        <v>1</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1540</v>
      </c>
      <c r="D22" s="235">
        <f ca="1">C26</f>
        <v>4.0000000000000002E-4</v>
      </c>
      <c r="E22" s="236" t="s">
        <v>99</v>
      </c>
      <c r="F22" s="237">
        <f ca="1">'数据-取费表'!B40</f>
        <v>3.6499999999999998E-2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1532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8</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t="e">
        <f>C28</f>
        <v>#DIV/0!</v>
      </c>
      <c r="D27" s="235" t="e">
        <f>C29</f>
        <v>#DIV/0!</v>
      </c>
      <c r="E27" s="236" t="s">
        <v>99</v>
      </c>
      <c r="F27" s="246" t="e">
        <f>'数据-取费表'!Q16</f>
        <v>#DIV/0!</v>
      </c>
      <c r="G27" s="247" t="s">
        <v>431</v>
      </c>
    </row>
    <row r="28" spans="1:7" s="214" customFormat="1" ht="13.5" customHeight="1">
      <c r="A28" s="780" t="s">
        <v>349</v>
      </c>
      <c r="B28" s="248" t="s">
        <v>424</v>
      </c>
      <c r="C28" s="249" t="e">
        <f>ROUND((C5+C19+C20)*F27*'数据-取费表'!B21/'数据-取费表'!B20,0)</f>
        <v>#DIV/0!</v>
      </c>
      <c r="D28" s="235"/>
      <c r="E28" s="236"/>
      <c r="F28" s="246"/>
      <c r="G28" s="247"/>
    </row>
    <row r="29" spans="1:7" s="214" customFormat="1" ht="13.5" customHeight="1">
      <c r="A29" s="780" t="s">
        <v>347</v>
      </c>
      <c r="B29" s="248" t="s">
        <v>425</v>
      </c>
      <c r="C29" s="238" t="e">
        <f>ROUND(C21*F27*'数据-取费表'!B21/'数据-取费表'!B20,4)</f>
        <v>#DIV/0!</v>
      </c>
      <c r="D29" s="235"/>
      <c r="E29" s="236"/>
      <c r="F29" s="246"/>
      <c r="G29" s="247"/>
    </row>
    <row r="30" spans="1:7" s="214" customFormat="1" ht="13.5" customHeight="1">
      <c r="A30" s="777" t="s">
        <v>343</v>
      </c>
      <c r="B30" s="210" t="s">
        <v>31</v>
      </c>
      <c r="C30" s="235">
        <f>F30</f>
        <v>5.5500000000000008E-2</v>
      </c>
      <c r="D30" s="236" t="s">
        <v>100</v>
      </c>
      <c r="E30" s="241"/>
      <c r="F30" s="237">
        <f>'数据-取费表'!B41</f>
        <v>5.5500000000000008E-2</v>
      </c>
      <c r="G30" s="234" t="s">
        <v>86</v>
      </c>
    </row>
    <row r="31" spans="1:7" ht="16.5" customHeight="1">
      <c r="A31" s="209">
        <v>1</v>
      </c>
      <c r="B31" s="210" t="s">
        <v>101</v>
      </c>
      <c r="C31" s="211" t="e">
        <f ca="1">ROUND((C5+C19+C20+C22+C27)/(1-C21-D22-D27-C30/(1+'数据-取费表'!B42)),0)</f>
        <v>#DIV/0!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0</v>
      </c>
      <c r="D37" s="217">
        <f>'数据-汇总表'!E3</f>
        <v>1</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0</v>
      </c>
      <c r="D41" s="235">
        <f ca="1">C44</f>
        <v>4.0000000000000002E-4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0</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7" t="s">
        <v>341</v>
      </c>
      <c r="B45" s="244" t="s">
        <v>85</v>
      </c>
      <c r="C45" s="245" t="e">
        <f>C46</f>
        <v>#DIV/0!</v>
      </c>
      <c r="D45" s="235" t="e">
        <f>C47</f>
        <v>#DIV/0!</v>
      </c>
      <c r="E45" s="236" t="s">
        <v>102</v>
      </c>
      <c r="F45" s="246"/>
      <c r="G45" s="247" t="s">
        <v>434</v>
      </c>
    </row>
    <row r="46" spans="1:7" s="214" customFormat="1" ht="13.5" customHeight="1">
      <c r="A46" s="780" t="s">
        <v>349</v>
      </c>
      <c r="B46" s="248" t="s">
        <v>427</v>
      </c>
      <c r="C46" s="249" t="e">
        <f>ROUND((C33+C39)*F27,0)</f>
        <v>#DIV/0!</v>
      </c>
      <c r="D46" s="263"/>
      <c r="E46" s="236"/>
      <c r="F46" s="246"/>
      <c r="G46" s="247"/>
    </row>
    <row r="47" spans="1:7" s="214" customFormat="1" ht="13.5" customHeight="1">
      <c r="A47" s="780" t="s">
        <v>347</v>
      </c>
      <c r="B47" s="248" t="s">
        <v>429</v>
      </c>
      <c r="C47" s="238" t="e">
        <f>ROUND(C40*F27,4)</f>
        <v>#DIV/0!</v>
      </c>
      <c r="D47" s="263"/>
      <c r="E47" s="236"/>
      <c r="F47" s="246"/>
      <c r="G47" s="247"/>
    </row>
    <row r="48" spans="1:7" s="214" customFormat="1" ht="13.5" customHeight="1">
      <c r="A48" s="777" t="s">
        <v>342</v>
      </c>
      <c r="B48" s="210" t="s">
        <v>95</v>
      </c>
      <c r="C48" s="262">
        <f>F30</f>
        <v>5.5500000000000008E-2</v>
      </c>
      <c r="D48" s="236" t="s">
        <v>103</v>
      </c>
      <c r="E48" s="232"/>
      <c r="F48" s="237"/>
      <c r="G48" s="234" t="s">
        <v>96</v>
      </c>
    </row>
    <row r="49" spans="1:7" ht="16.5" customHeight="1">
      <c r="A49" s="777" t="s">
        <v>343</v>
      </c>
      <c r="B49" s="210" t="s">
        <v>104</v>
      </c>
      <c r="C49" s="232" t="e">
        <f ca="1">ROUND((C33+C39+C41+C45)/(1-C40-D41-D45-C48/(1+'数据-取费表'!B42)),0)</f>
        <v>#DIV/0!</v>
      </c>
      <c r="D49" s="232"/>
      <c r="E49" s="232"/>
      <c r="F49" s="264"/>
      <c r="G49" s="234" t="s">
        <v>435</v>
      </c>
    </row>
    <row r="50" spans="1:7" s="258" customFormat="1" ht="24">
      <c r="A50" s="777" t="s">
        <v>344</v>
      </c>
      <c r="B50" s="210" t="s">
        <v>97</v>
      </c>
      <c r="C50" s="232"/>
      <c r="D50" s="232"/>
      <c r="E50" s="232"/>
      <c r="F50" s="264" t="e">
        <f>IF('数据-取费表'!B24=0,'数据-取费表'!N16,1)</f>
        <v>#DIV/0!</v>
      </c>
      <c r="G50" s="247" t="s">
        <v>98</v>
      </c>
    </row>
    <row r="51" spans="1:7" ht="16.5" customHeight="1">
      <c r="A51" s="777" t="s">
        <v>345</v>
      </c>
      <c r="B51" s="210" t="s">
        <v>105</v>
      </c>
      <c r="C51" s="232" t="e">
        <f ca="1">ROUND(C49*F50,0)</f>
        <v>#DIV/0!</v>
      </c>
      <c r="D51" s="232"/>
      <c r="E51" s="232"/>
      <c r="F51" s="264"/>
      <c r="G51" s="234" t="s">
        <v>37</v>
      </c>
    </row>
    <row r="52" spans="1:7" s="208" customFormat="1" ht="16.5" thickBot="1">
      <c r="A52" s="265" t="s">
        <v>38</v>
      </c>
      <c r="B52" s="266"/>
      <c r="C52" s="267" t="e">
        <f ca="1">C31+C51</f>
        <v>#DIV/0!</v>
      </c>
      <c r="D52" s="266"/>
      <c r="E52" s="266"/>
      <c r="F52" s="266"/>
      <c r="G52" s="268"/>
    </row>
    <row r="55" spans="1:7" ht="15">
      <c r="B55" s="270" t="s">
        <v>39</v>
      </c>
      <c r="C55" s="271"/>
    </row>
    <row r="56" spans="1:7">
      <c r="B56" s="273" t="s">
        <v>40</v>
      </c>
      <c r="C56" s="274" t="e">
        <f ca="1">ROUND(C51/C52,3)</f>
        <v>#DIV/0!</v>
      </c>
    </row>
    <row r="57" spans="1:7">
      <c r="B57" s="273" t="s">
        <v>41</v>
      </c>
      <c r="C57" s="275" t="e">
        <f ca="1">1-C56</f>
        <v>#DIV/0!</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2847</v>
      </c>
      <c r="B1" s="3771"/>
      <c r="C1" s="3771"/>
      <c r="D1" s="3771"/>
      <c r="E1" s="3771"/>
      <c r="F1" s="3771"/>
      <c r="G1" s="3772"/>
      <c r="I1" s="3223" t="s">
        <v>2848</v>
      </c>
      <c r="J1" s="3224" t="s">
        <v>2849</v>
      </c>
      <c r="K1" s="3224" t="s">
        <v>2850</v>
      </c>
      <c r="L1" s="3224" t="s">
        <v>2851</v>
      </c>
      <c r="M1" s="3224" t="s">
        <v>2852</v>
      </c>
      <c r="N1" s="3224" t="s">
        <v>2853</v>
      </c>
      <c r="O1" s="3224" t="s">
        <v>2854</v>
      </c>
      <c r="P1" s="3224" t="s">
        <v>2855</v>
      </c>
      <c r="Q1" s="3224" t="s">
        <v>2856</v>
      </c>
      <c r="R1" s="3224" t="s">
        <v>2857</v>
      </c>
      <c r="S1" s="3224" t="s">
        <v>2858</v>
      </c>
      <c r="T1" s="3225" t="s">
        <v>2859</v>
      </c>
    </row>
    <row r="2" spans="1:20" ht="12" thickBot="1">
      <c r="A2" s="3227" t="s">
        <v>2860</v>
      </c>
      <c r="B2" s="3227"/>
      <c r="C2" s="3227"/>
      <c r="D2" s="3227"/>
      <c r="E2" s="3227"/>
      <c r="F2" s="3227"/>
      <c r="G2" s="3228" t="s">
        <v>2861</v>
      </c>
      <c r="I2" s="3229" t="s">
        <v>2862</v>
      </c>
      <c r="J2" s="3229" t="s">
        <v>2863</v>
      </c>
      <c r="K2" s="3229" t="s">
        <v>2864</v>
      </c>
      <c r="L2" s="3229" t="s">
        <v>2865</v>
      </c>
      <c r="M2" s="3229" t="s">
        <v>2866</v>
      </c>
      <c r="N2" s="3229" t="s">
        <v>2867</v>
      </c>
      <c r="O2" s="3229" t="s">
        <v>2868</v>
      </c>
      <c r="P2" s="3229" t="s">
        <v>2869</v>
      </c>
      <c r="Q2" s="3229" t="s">
        <v>2870</v>
      </c>
      <c r="R2" s="3229" t="s">
        <v>2871</v>
      </c>
      <c r="S2" s="3229" t="s">
        <v>2872</v>
      </c>
      <c r="T2" s="3229" t="s">
        <v>2873</v>
      </c>
    </row>
    <row r="3" spans="1:20" s="3235" customFormat="1">
      <c r="A3" s="3769" t="s">
        <v>2874</v>
      </c>
      <c r="B3" s="3230"/>
      <c r="C3" s="3231" t="s">
        <v>2815</v>
      </c>
      <c r="D3" s="3231" t="s">
        <v>2875</v>
      </c>
      <c r="E3" s="3231" t="s">
        <v>2817</v>
      </c>
      <c r="F3" s="3231" t="s">
        <v>2876</v>
      </c>
      <c r="G3" s="3231" t="s">
        <v>2635</v>
      </c>
      <c r="H3" s="3232"/>
      <c r="I3" s="3233" t="s">
        <v>2877</v>
      </c>
      <c r="J3" s="3234" t="s">
        <v>128</v>
      </c>
      <c r="K3" s="3234" t="s">
        <v>129</v>
      </c>
      <c r="L3" s="3233" t="s">
        <v>130</v>
      </c>
      <c r="M3" s="3233" t="s">
        <v>131</v>
      </c>
      <c r="N3" s="3233" t="s">
        <v>132</v>
      </c>
      <c r="O3" s="3233" t="s">
        <v>133</v>
      </c>
      <c r="P3" s="3233" t="s">
        <v>134</v>
      </c>
      <c r="Q3" s="3233" t="s">
        <v>135</v>
      </c>
      <c r="R3" s="3233" t="s">
        <v>136</v>
      </c>
      <c r="S3" s="3233" t="s">
        <v>2878</v>
      </c>
      <c r="T3" s="3233" t="s">
        <v>2879</v>
      </c>
    </row>
    <row r="4" spans="1:20" s="3235" customFormat="1" ht="12" thickBot="1">
      <c r="A4" s="3770"/>
      <c r="B4" s="3236" t="s">
        <v>2880</v>
      </c>
      <c r="C4" s="3236" t="s">
        <v>2881</v>
      </c>
      <c r="D4" s="3236" t="s">
        <v>2881</v>
      </c>
      <c r="E4" s="3236" t="s">
        <v>2881</v>
      </c>
      <c r="F4" s="3237" t="s">
        <v>2881</v>
      </c>
      <c r="G4" s="3237" t="s">
        <v>2881</v>
      </c>
      <c r="H4" s="3232"/>
      <c r="I4" s="3234" t="s">
        <v>137</v>
      </c>
      <c r="J4" s="3234" t="s">
        <v>111</v>
      </c>
      <c r="K4" s="3234" t="s">
        <v>138</v>
      </c>
      <c r="L4" s="3233" t="s">
        <v>139</v>
      </c>
      <c r="M4" s="3233" t="s">
        <v>140</v>
      </c>
      <c r="N4" s="3233" t="s">
        <v>141</v>
      </c>
      <c r="O4" s="3233" t="s">
        <v>142</v>
      </c>
      <c r="P4" s="3233" t="s">
        <v>143</v>
      </c>
      <c r="Q4" s="3233" t="s">
        <v>2882</v>
      </c>
      <c r="R4" s="3233" t="s">
        <v>2883</v>
      </c>
      <c r="S4" s="3233" t="s">
        <v>2884</v>
      </c>
      <c r="T4" s="3233" t="s">
        <v>2885</v>
      </c>
    </row>
    <row r="5" spans="1:20">
      <c r="A5" s="3238" t="s">
        <v>2848</v>
      </c>
      <c r="B5" s="3229" t="s">
        <v>2862</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2886</v>
      </c>
      <c r="R5" s="3233" t="s">
        <v>2887</v>
      </c>
      <c r="S5" s="3233" t="s">
        <v>153</v>
      </c>
      <c r="T5" s="3233" t="s">
        <v>2888</v>
      </c>
    </row>
    <row r="6" spans="1:20" ht="12" thickBot="1">
      <c r="A6" s="3233" t="s">
        <v>144</v>
      </c>
      <c r="B6" s="3233" t="s">
        <v>2877</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2889</v>
      </c>
      <c r="Q6" s="3233" t="s">
        <v>2890</v>
      </c>
      <c r="R6" s="3233" t="s">
        <v>161</v>
      </c>
      <c r="S6" s="3233" t="s">
        <v>2891</v>
      </c>
      <c r="T6" s="3233" t="s">
        <v>2892</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2893</v>
      </c>
      <c r="Q7" s="3233" t="s">
        <v>2894</v>
      </c>
      <c r="R7" s="3233" t="s">
        <v>2895</v>
      </c>
      <c r="S7" s="3233" t="s">
        <v>2896</v>
      </c>
      <c r="T7" s="3233" t="s">
        <v>2897</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2898</v>
      </c>
      <c r="Q8" s="3233" t="s">
        <v>174</v>
      </c>
      <c r="R8" s="3233" t="s">
        <v>2899</v>
      </c>
      <c r="S8" s="3233" t="s">
        <v>2900</v>
      </c>
      <c r="T8" s="3240" t="s">
        <v>2901</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2902</v>
      </c>
      <c r="Q9" s="3233" t="s">
        <v>182</v>
      </c>
      <c r="R9" s="3233" t="s">
        <v>183</v>
      </c>
      <c r="S9" s="3233" t="s">
        <v>200</v>
      </c>
    </row>
    <row r="10" spans="1:20">
      <c r="A10" s="3238" t="s">
        <v>184</v>
      </c>
      <c r="B10" s="3229" t="s">
        <v>2863</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2903</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2904</v>
      </c>
      <c r="P11" s="3233" t="s">
        <v>191</v>
      </c>
      <c r="Q11" s="3233" t="s">
        <v>199</v>
      </c>
      <c r="R11" s="3233" t="s">
        <v>2905</v>
      </c>
      <c r="S11" s="3233" t="s">
        <v>2906</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2907</v>
      </c>
      <c r="P12" s="3233" t="s">
        <v>2908</v>
      </c>
      <c r="Q12" s="3233" t="s">
        <v>2909</v>
      </c>
      <c r="R12" s="3233" t="s">
        <v>2910</v>
      </c>
      <c r="S12" s="3233" t="s">
        <v>2911</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2912</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2913</v>
      </c>
      <c r="K14" s="3234" t="s">
        <v>215</v>
      </c>
      <c r="L14" s="3233" t="s">
        <v>216</v>
      </c>
      <c r="M14" s="3233" t="s">
        <v>217</v>
      </c>
      <c r="N14" s="3233" t="s">
        <v>218</v>
      </c>
      <c r="O14" s="3233" t="s">
        <v>240</v>
      </c>
      <c r="P14" s="3233" t="s">
        <v>213</v>
      </c>
      <c r="Q14" s="3233" t="s">
        <v>2914</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2915</v>
      </c>
      <c r="P15" s="3233" t="s">
        <v>2916</v>
      </c>
      <c r="Q15" s="3233" t="s">
        <v>242</v>
      </c>
      <c r="R15" s="3233" t="s">
        <v>2917</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2918</v>
      </c>
      <c r="P16" s="3233" t="s">
        <v>227</v>
      </c>
      <c r="Q16" s="3233" t="s">
        <v>250</v>
      </c>
      <c r="R16" s="3233" t="s">
        <v>207</v>
      </c>
      <c r="S16" s="3233" t="s">
        <v>2919</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2920</v>
      </c>
      <c r="P17" s="3233" t="s">
        <v>2921</v>
      </c>
      <c r="Q17" s="3233" t="s">
        <v>256</v>
      </c>
      <c r="R17" s="3233" t="s">
        <v>2922</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2923</v>
      </c>
      <c r="P18" s="3233" t="s">
        <v>241</v>
      </c>
      <c r="Q18" s="3233" t="s">
        <v>2924</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2925</v>
      </c>
      <c r="P19" s="3233" t="s">
        <v>249</v>
      </c>
      <c r="Q19" s="3233" t="s">
        <v>2926</v>
      </c>
      <c r="R19" s="3233" t="s">
        <v>265</v>
      </c>
      <c r="S19" s="3233" t="s">
        <v>2927</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2928</v>
      </c>
      <c r="P20" s="3233" t="s">
        <v>2929</v>
      </c>
      <c r="Q20" s="3233" t="s">
        <v>290</v>
      </c>
      <c r="R20" s="3233" t="s">
        <v>2930</v>
      </c>
      <c r="S20" s="3233" t="s">
        <v>277</v>
      </c>
    </row>
    <row r="21" spans="1:19" ht="14.25" customHeight="1" thickBot="1">
      <c r="A21" s="3233" t="s">
        <v>184</v>
      </c>
      <c r="B21" s="3234" t="s">
        <v>208</v>
      </c>
      <c r="C21" s="3233">
        <v>32370</v>
      </c>
      <c r="D21" s="3233">
        <v>26730</v>
      </c>
      <c r="E21" s="3233">
        <v>26640</v>
      </c>
      <c r="F21" s="3233"/>
      <c r="G21" s="3233">
        <v>19440</v>
      </c>
      <c r="J21" s="3240" t="s">
        <v>2931</v>
      </c>
      <c r="K21" s="3234" t="s">
        <v>267</v>
      </c>
      <c r="L21" s="3233" t="s">
        <v>268</v>
      </c>
      <c r="M21" s="3233" t="s">
        <v>269</v>
      </c>
      <c r="N21" s="3233" t="s">
        <v>270</v>
      </c>
      <c r="O21" s="3233" t="s">
        <v>264</v>
      </c>
      <c r="P21" s="3233" t="s">
        <v>283</v>
      </c>
      <c r="Q21" s="3233" t="s">
        <v>293</v>
      </c>
      <c r="R21" s="3233" t="s">
        <v>2932</v>
      </c>
      <c r="S21" s="3240" t="s">
        <v>2933</v>
      </c>
    </row>
    <row r="22" spans="1:19" ht="14.25" customHeight="1">
      <c r="A22" s="3233" t="s">
        <v>184</v>
      </c>
      <c r="B22" s="3234" t="s">
        <v>2913</v>
      </c>
      <c r="C22" s="3233">
        <v>29830</v>
      </c>
      <c r="D22" s="3233">
        <v>27600</v>
      </c>
      <c r="E22" s="3233">
        <v>28150</v>
      </c>
      <c r="F22" s="3233"/>
      <c r="G22" s="3233">
        <v>20080</v>
      </c>
      <c r="K22" s="3234" t="s">
        <v>2934</v>
      </c>
      <c r="L22" s="3233" t="s">
        <v>272</v>
      </c>
      <c r="M22" s="3233" t="s">
        <v>273</v>
      </c>
      <c r="N22" s="3233" t="s">
        <v>274</v>
      </c>
      <c r="O22" s="3233" t="s">
        <v>2935</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2936</v>
      </c>
      <c r="L23" s="3233" t="s">
        <v>278</v>
      </c>
      <c r="M23" s="3233" t="s">
        <v>279</v>
      </c>
      <c r="N23" s="3233" t="s">
        <v>2937</v>
      </c>
      <c r="O23" s="3233" t="s">
        <v>2938</v>
      </c>
      <c r="P23" s="3233" t="s">
        <v>289</v>
      </c>
      <c r="Q23" s="3233" t="s">
        <v>298</v>
      </c>
      <c r="R23" s="3233" t="s">
        <v>2939</v>
      </c>
    </row>
    <row r="24" spans="1:19" ht="14.25" customHeight="1">
      <c r="A24" s="3233" t="s">
        <v>184</v>
      </c>
      <c r="B24" s="3234" t="s">
        <v>230</v>
      </c>
      <c r="C24" s="3233">
        <v>27930</v>
      </c>
      <c r="D24" s="3233">
        <v>32260</v>
      </c>
      <c r="E24" s="3233">
        <v>32120</v>
      </c>
      <c r="F24" s="3233"/>
      <c r="G24" s="3233">
        <v>23470</v>
      </c>
      <c r="K24" s="3234" t="s">
        <v>2940</v>
      </c>
      <c r="L24" s="3233" t="s">
        <v>281</v>
      </c>
      <c r="M24" s="3233" t="s">
        <v>282</v>
      </c>
      <c r="N24" s="3233" t="s">
        <v>2941</v>
      </c>
      <c r="O24" s="3233" t="s">
        <v>285</v>
      </c>
      <c r="P24" s="3233" t="s">
        <v>2942</v>
      </c>
      <c r="Q24" s="3242" t="s">
        <v>2943</v>
      </c>
      <c r="R24" s="3233" t="s">
        <v>2944</v>
      </c>
    </row>
    <row r="25" spans="1:19" ht="14.25" customHeight="1">
      <c r="A25" s="3233" t="s">
        <v>184</v>
      </c>
      <c r="B25" s="3234" t="s">
        <v>235</v>
      </c>
      <c r="C25" s="3233">
        <v>32230</v>
      </c>
      <c r="D25" s="3233">
        <v>29640</v>
      </c>
      <c r="E25" s="3233">
        <v>29510</v>
      </c>
      <c r="F25" s="3233"/>
      <c r="G25" s="3233">
        <v>21560</v>
      </c>
      <c r="K25" s="3234" t="s">
        <v>2945</v>
      </c>
      <c r="L25" s="3233" t="s">
        <v>2946</v>
      </c>
      <c r="M25" s="3233" t="s">
        <v>284</v>
      </c>
      <c r="N25" s="3233" t="s">
        <v>292</v>
      </c>
      <c r="O25" s="3233" t="s">
        <v>288</v>
      </c>
      <c r="P25" s="3233" t="s">
        <v>275</v>
      </c>
      <c r="Q25" s="3242" t="s">
        <v>271</v>
      </c>
      <c r="R25" s="3233" t="s">
        <v>2947</v>
      </c>
    </row>
    <row r="26" spans="1:19" ht="14.25" customHeight="1" thickBot="1">
      <c r="A26" s="3233" t="s">
        <v>184</v>
      </c>
      <c r="B26" s="3234" t="s">
        <v>244</v>
      </c>
      <c r="C26" s="3233">
        <v>31690</v>
      </c>
      <c r="D26" s="3233">
        <v>27650</v>
      </c>
      <c r="E26" s="3233">
        <v>28200</v>
      </c>
      <c r="F26" s="3233"/>
      <c r="G26" s="3233">
        <v>20110</v>
      </c>
      <c r="K26" s="3239" t="s">
        <v>2948</v>
      </c>
      <c r="L26" s="3233" t="s">
        <v>2949</v>
      </c>
      <c r="M26" s="3233" t="s">
        <v>287</v>
      </c>
      <c r="N26" s="3233" t="s">
        <v>294</v>
      </c>
      <c r="O26" s="3233" t="s">
        <v>2950</v>
      </c>
      <c r="P26" s="3233" t="s">
        <v>2951</v>
      </c>
      <c r="Q26" s="3242" t="s">
        <v>276</v>
      </c>
      <c r="R26" s="3233" t="s">
        <v>2952</v>
      </c>
    </row>
    <row r="27" spans="1:19" ht="14.25" customHeight="1">
      <c r="A27" s="3233" t="s">
        <v>184</v>
      </c>
      <c r="B27" s="3234" t="s">
        <v>251</v>
      </c>
      <c r="C27" s="3233">
        <v>29610</v>
      </c>
      <c r="D27" s="3233">
        <v>27770</v>
      </c>
      <c r="E27" s="3233">
        <v>28300</v>
      </c>
      <c r="F27" s="3233"/>
      <c r="G27" s="3233">
        <v>20210</v>
      </c>
      <c r="L27" s="3233" t="s">
        <v>2953</v>
      </c>
      <c r="M27" s="3233" t="s">
        <v>291</v>
      </c>
      <c r="N27" s="3233" t="s">
        <v>297</v>
      </c>
      <c r="O27" s="3233" t="s">
        <v>2954</v>
      </c>
      <c r="P27" s="3233" t="s">
        <v>2955</v>
      </c>
      <c r="Q27" s="3233" t="s">
        <v>2956</v>
      </c>
      <c r="R27" s="3233" t="s">
        <v>2957</v>
      </c>
    </row>
    <row r="28" spans="1:19" ht="14.25" customHeight="1">
      <c r="A28" s="3233" t="s">
        <v>184</v>
      </c>
      <c r="B28" s="3234" t="s">
        <v>259</v>
      </c>
      <c r="C28" s="3233"/>
      <c r="D28" s="3233">
        <v>31520</v>
      </c>
      <c r="E28" s="3233">
        <v>31410</v>
      </c>
      <c r="F28" s="3233"/>
      <c r="G28" s="3233">
        <v>22940</v>
      </c>
      <c r="L28" s="3233" t="s">
        <v>2958</v>
      </c>
      <c r="M28" s="3233" t="s">
        <v>2959</v>
      </c>
      <c r="N28" s="3233" t="s">
        <v>2960</v>
      </c>
      <c r="O28" s="3233" t="s">
        <v>2961</v>
      </c>
      <c r="P28" s="3233" t="s">
        <v>2962</v>
      </c>
      <c r="Q28" s="3233" t="s">
        <v>2963</v>
      </c>
      <c r="R28" s="3233" t="s">
        <v>2964</v>
      </c>
    </row>
    <row r="29" spans="1:19" ht="14.25" customHeight="1" thickBot="1">
      <c r="A29" s="3241" t="s">
        <v>184</v>
      </c>
      <c r="B29" s="3243" t="s">
        <v>2931</v>
      </c>
      <c r="C29" s="3244"/>
      <c r="D29" s="3244">
        <v>29460</v>
      </c>
      <c r="E29" s="3244">
        <v>28640</v>
      </c>
      <c r="F29" s="3244"/>
      <c r="G29" s="3244">
        <v>21430</v>
      </c>
      <c r="L29" s="3233" t="s">
        <v>2965</v>
      </c>
      <c r="M29" s="3233" t="s">
        <v>2966</v>
      </c>
      <c r="N29" s="3233" t="s">
        <v>2967</v>
      </c>
      <c r="O29" s="3233" t="s">
        <v>2968</v>
      </c>
      <c r="P29" s="3233" t="s">
        <v>2969</v>
      </c>
      <c r="Q29" s="3233" t="s">
        <v>2970</v>
      </c>
      <c r="R29" s="3233" t="s">
        <v>280</v>
      </c>
    </row>
    <row r="30" spans="1:19" ht="14.25" customHeight="1">
      <c r="A30" s="3238" t="s">
        <v>296</v>
      </c>
      <c r="B30" s="3229" t="s">
        <v>2864</v>
      </c>
      <c r="C30" s="3229">
        <v>26890</v>
      </c>
      <c r="D30" s="3229">
        <v>26770</v>
      </c>
      <c r="E30" s="3229">
        <v>25700</v>
      </c>
      <c r="F30" s="3229">
        <v>8180</v>
      </c>
      <c r="G30" s="3245">
        <v>18740</v>
      </c>
      <c r="L30" s="3233" t="s">
        <v>2971</v>
      </c>
      <c r="M30" s="3233" t="s">
        <v>2972</v>
      </c>
      <c r="N30" s="3233" t="s">
        <v>2973</v>
      </c>
      <c r="O30" s="3233" t="s">
        <v>2974</v>
      </c>
      <c r="P30" s="3233" t="s">
        <v>2975</v>
      </c>
      <c r="Q30" s="3233" t="s">
        <v>2976</v>
      </c>
      <c r="R30" s="3233" t="s">
        <v>2977</v>
      </c>
    </row>
    <row r="31" spans="1:19" ht="14.25" customHeight="1">
      <c r="A31" s="3233" t="s">
        <v>296</v>
      </c>
      <c r="B31" s="3234" t="s">
        <v>129</v>
      </c>
      <c r="C31" s="3233">
        <v>24550</v>
      </c>
      <c r="D31" s="3233">
        <v>23990</v>
      </c>
      <c r="E31" s="3233">
        <v>22930</v>
      </c>
      <c r="F31" s="3233">
        <v>7470</v>
      </c>
      <c r="G31" s="3246">
        <v>16790</v>
      </c>
      <c r="L31" s="3233" t="s">
        <v>2978</v>
      </c>
      <c r="M31" s="3233" t="s">
        <v>2979</v>
      </c>
      <c r="N31" s="3233" t="s">
        <v>2980</v>
      </c>
      <c r="O31" s="3233" t="s">
        <v>2981</v>
      </c>
      <c r="P31" s="3233" t="s">
        <v>2982</v>
      </c>
      <c r="Q31" s="3233" t="s">
        <v>2983</v>
      </c>
      <c r="R31" s="3233" t="s">
        <v>2984</v>
      </c>
    </row>
    <row r="32" spans="1:19" ht="14.25" customHeight="1" thickBot="1">
      <c r="A32" s="3233" t="s">
        <v>296</v>
      </c>
      <c r="B32" s="3234" t="s">
        <v>138</v>
      </c>
      <c r="C32" s="3233">
        <v>27210</v>
      </c>
      <c r="D32" s="3233">
        <v>23240</v>
      </c>
      <c r="E32" s="3233">
        <v>23260</v>
      </c>
      <c r="F32" s="3233">
        <v>7130</v>
      </c>
      <c r="G32" s="3246">
        <v>16270</v>
      </c>
      <c r="L32" s="3233" t="s">
        <v>2985</v>
      </c>
      <c r="M32" s="3233" t="s">
        <v>2986</v>
      </c>
      <c r="N32" s="3233" t="s">
        <v>300</v>
      </c>
      <c r="O32" s="3233" t="s">
        <v>2987</v>
      </c>
      <c r="P32" s="3233" t="s">
        <v>299</v>
      </c>
      <c r="Q32" s="3233" t="s">
        <v>2988</v>
      </c>
      <c r="R32" s="3240" t="s">
        <v>2989</v>
      </c>
    </row>
    <row r="33" spans="1:17" ht="14.25" customHeight="1" thickBot="1">
      <c r="A33" s="3233" t="s">
        <v>296</v>
      </c>
      <c r="B33" s="3234" t="s">
        <v>147</v>
      </c>
      <c r="C33" s="3233">
        <v>27300</v>
      </c>
      <c r="D33" s="3233">
        <v>22980</v>
      </c>
      <c r="E33" s="3233">
        <v>24260</v>
      </c>
      <c r="F33" s="3233">
        <v>5860</v>
      </c>
      <c r="G33" s="3246">
        <v>16090</v>
      </c>
      <c r="L33" s="3240" t="s">
        <v>2990</v>
      </c>
      <c r="M33" s="3233" t="s">
        <v>2991</v>
      </c>
      <c r="N33" s="3233" t="s">
        <v>301</v>
      </c>
      <c r="O33" s="3233" t="s">
        <v>2992</v>
      </c>
      <c r="P33" s="3233" t="s">
        <v>2993</v>
      </c>
      <c r="Q33" s="3233" t="s">
        <v>2994</v>
      </c>
    </row>
    <row r="34" spans="1:17" ht="14.25" customHeight="1">
      <c r="A34" s="3233" t="s">
        <v>296</v>
      </c>
      <c r="B34" s="3234" t="s">
        <v>156</v>
      </c>
      <c r="C34" s="3233">
        <v>23090</v>
      </c>
      <c r="D34" s="3233">
        <v>23390</v>
      </c>
      <c r="E34" s="3233">
        <v>23510</v>
      </c>
      <c r="F34" s="3233">
        <v>6700</v>
      </c>
      <c r="G34" s="3246">
        <v>16370</v>
      </c>
      <c r="M34" s="3233" t="s">
        <v>2995</v>
      </c>
      <c r="N34" s="3233" t="s">
        <v>302</v>
      </c>
      <c r="O34" s="3233" t="s">
        <v>2996</v>
      </c>
      <c r="P34" s="3233" t="s">
        <v>2997</v>
      </c>
      <c r="Q34" s="3233" t="s">
        <v>2998</v>
      </c>
    </row>
    <row r="35" spans="1:17" ht="14.25" customHeight="1">
      <c r="A35" s="3233" t="s">
        <v>296</v>
      </c>
      <c r="B35" s="3234" t="s">
        <v>163</v>
      </c>
      <c r="C35" s="3233">
        <v>27270</v>
      </c>
      <c r="D35" s="3233">
        <v>24270</v>
      </c>
      <c r="E35" s="3233">
        <v>24950</v>
      </c>
      <c r="F35" s="3233">
        <v>6600</v>
      </c>
      <c r="G35" s="3246">
        <v>16990</v>
      </c>
      <c r="M35" s="3233" t="s">
        <v>2999</v>
      </c>
      <c r="N35" s="3233" t="s">
        <v>3000</v>
      </c>
      <c r="O35" s="3233" t="s">
        <v>3001</v>
      </c>
      <c r="P35" s="3233" t="s">
        <v>3002</v>
      </c>
      <c r="Q35" s="3233" t="s">
        <v>3003</v>
      </c>
    </row>
    <row r="36" spans="1:17" ht="14.25" customHeight="1">
      <c r="A36" s="3233" t="s">
        <v>296</v>
      </c>
      <c r="B36" s="3234" t="s">
        <v>169</v>
      </c>
      <c r="C36" s="3233">
        <v>23490</v>
      </c>
      <c r="D36" s="3233">
        <v>23020</v>
      </c>
      <c r="E36" s="3233">
        <v>25230</v>
      </c>
      <c r="F36" s="3233">
        <v>6780</v>
      </c>
      <c r="G36" s="3246">
        <v>16120</v>
      </c>
      <c r="M36" s="3233" t="s">
        <v>3004</v>
      </c>
      <c r="N36" s="3233" t="s">
        <v>3005</v>
      </c>
      <c r="O36" s="3233" t="s">
        <v>3006</v>
      </c>
      <c r="P36" s="3233" t="s">
        <v>3007</v>
      </c>
      <c r="Q36" s="3233" t="s">
        <v>3008</v>
      </c>
    </row>
    <row r="37" spans="1:17" ht="14.25" customHeight="1">
      <c r="A37" s="3233" t="s">
        <v>296</v>
      </c>
      <c r="B37" s="3234" t="s">
        <v>176</v>
      </c>
      <c r="C37" s="3233">
        <v>24380</v>
      </c>
      <c r="D37" s="3233">
        <v>22240</v>
      </c>
      <c r="E37" s="3233">
        <v>25980</v>
      </c>
      <c r="F37" s="3233">
        <v>8160</v>
      </c>
      <c r="G37" s="3246">
        <v>15570</v>
      </c>
      <c r="M37" s="3233" t="s">
        <v>3009</v>
      </c>
      <c r="N37" s="3233" t="s">
        <v>3010</v>
      </c>
      <c r="O37" s="3233" t="s">
        <v>3011</v>
      </c>
      <c r="P37" s="3233" t="s">
        <v>3012</v>
      </c>
      <c r="Q37" s="3233" t="s">
        <v>3013</v>
      </c>
    </row>
    <row r="38" spans="1:17" ht="14.25" customHeight="1">
      <c r="A38" s="3233" t="s">
        <v>296</v>
      </c>
      <c r="B38" s="3234" t="s">
        <v>186</v>
      </c>
      <c r="C38" s="3233">
        <v>23120</v>
      </c>
      <c r="D38" s="3233">
        <v>24630</v>
      </c>
      <c r="E38" s="3233">
        <v>25030</v>
      </c>
      <c r="F38" s="3233">
        <v>7710</v>
      </c>
      <c r="G38" s="3246">
        <v>17240</v>
      </c>
      <c r="M38" s="3233" t="s">
        <v>3014</v>
      </c>
      <c r="N38" s="3233" t="s">
        <v>3015</v>
      </c>
      <c r="O38" s="3233" t="s">
        <v>3016</v>
      </c>
      <c r="P38" s="3233" t="s">
        <v>3017</v>
      </c>
      <c r="Q38" s="3233" t="s">
        <v>3018</v>
      </c>
    </row>
    <row r="39" spans="1:17" ht="14.25" customHeight="1">
      <c r="A39" s="3233" t="s">
        <v>296</v>
      </c>
      <c r="B39" s="3234" t="s">
        <v>195</v>
      </c>
      <c r="C39" s="3233">
        <v>22330</v>
      </c>
      <c r="D39" s="3233">
        <v>21140</v>
      </c>
      <c r="E39" s="3233">
        <v>23970</v>
      </c>
      <c r="F39" s="3233">
        <v>7940</v>
      </c>
      <c r="G39" s="3246">
        <v>14790</v>
      </c>
      <c r="M39" s="3233" t="s">
        <v>3019</v>
      </c>
      <c r="N39" s="3233" t="s">
        <v>3020</v>
      </c>
      <c r="O39" s="3233" t="s">
        <v>3021</v>
      </c>
      <c r="P39" s="3233" t="s">
        <v>3022</v>
      </c>
      <c r="Q39" s="3233" t="s">
        <v>3023</v>
      </c>
    </row>
    <row r="40" spans="1:17" ht="14.25" customHeight="1">
      <c r="A40" s="3233" t="s">
        <v>296</v>
      </c>
      <c r="B40" s="3234" t="s">
        <v>202</v>
      </c>
      <c r="C40" s="3233">
        <v>24740</v>
      </c>
      <c r="D40" s="3233">
        <v>24690</v>
      </c>
      <c r="E40" s="3233">
        <v>22610</v>
      </c>
      <c r="F40" s="3233"/>
      <c r="G40" s="3246">
        <v>17280</v>
      </c>
      <c r="M40" s="3233" t="s">
        <v>3024</v>
      </c>
      <c r="N40" s="3233" t="s">
        <v>3025</v>
      </c>
      <c r="O40" s="3233" t="s">
        <v>3026</v>
      </c>
      <c r="P40" s="3233" t="s">
        <v>3027</v>
      </c>
      <c r="Q40" s="3233" t="s">
        <v>3028</v>
      </c>
    </row>
    <row r="41" spans="1:17" ht="14.25" customHeight="1" thickBot="1">
      <c r="A41" s="3233" t="s">
        <v>296</v>
      </c>
      <c r="B41" s="3234" t="s">
        <v>209</v>
      </c>
      <c r="C41" s="3233">
        <v>21220</v>
      </c>
      <c r="D41" s="3233">
        <v>21120</v>
      </c>
      <c r="E41" s="3233">
        <v>22590</v>
      </c>
      <c r="F41" s="3233"/>
      <c r="G41" s="3246">
        <v>14780</v>
      </c>
      <c r="M41" s="3240" t="s">
        <v>3029</v>
      </c>
      <c r="N41" s="3233" t="s">
        <v>3030</v>
      </c>
      <c r="O41" s="3233" t="s">
        <v>3031</v>
      </c>
      <c r="P41" s="3233" t="s">
        <v>3032</v>
      </c>
      <c r="Q41" s="3233" t="s">
        <v>3033</v>
      </c>
    </row>
    <row r="42" spans="1:17" ht="14.25" customHeight="1">
      <c r="A42" s="3233" t="s">
        <v>296</v>
      </c>
      <c r="B42" s="3234" t="s">
        <v>215</v>
      </c>
      <c r="C42" s="3233">
        <v>24800</v>
      </c>
      <c r="D42" s="3233">
        <v>22280</v>
      </c>
      <c r="E42" s="3233">
        <v>24350</v>
      </c>
      <c r="F42" s="3233"/>
      <c r="G42" s="3246">
        <v>15590</v>
      </c>
      <c r="N42" s="3233" t="s">
        <v>3034</v>
      </c>
      <c r="O42" s="3233" t="s">
        <v>3035</v>
      </c>
      <c r="P42" s="3233" t="s">
        <v>3036</v>
      </c>
      <c r="Q42" s="3233" t="s">
        <v>3037</v>
      </c>
    </row>
    <row r="43" spans="1:17" ht="14.25" customHeight="1">
      <c r="A43" s="3233" t="s">
        <v>3038</v>
      </c>
      <c r="B43" s="3234" t="s">
        <v>223</v>
      </c>
      <c r="C43" s="3233">
        <v>21210</v>
      </c>
      <c r="D43" s="3233">
        <v>21160</v>
      </c>
      <c r="E43" s="3233">
        <v>22650</v>
      </c>
      <c r="F43" s="3233"/>
      <c r="G43" s="3246">
        <v>14800</v>
      </c>
      <c r="N43" s="3233" t="s">
        <v>3039</v>
      </c>
      <c r="O43" s="3233" t="s">
        <v>3040</v>
      </c>
      <c r="P43" s="3233" t="s">
        <v>3041</v>
      </c>
      <c r="Q43" s="3233" t="s">
        <v>3042</v>
      </c>
    </row>
    <row r="44" spans="1:17" ht="14.25" customHeight="1" thickBot="1">
      <c r="A44" s="3233" t="s">
        <v>296</v>
      </c>
      <c r="B44" s="3234" t="s">
        <v>231</v>
      </c>
      <c r="C44" s="3233">
        <v>22370</v>
      </c>
      <c r="D44" s="3233">
        <v>23140</v>
      </c>
      <c r="E44" s="3233">
        <v>25090</v>
      </c>
      <c r="F44" s="3233"/>
      <c r="G44" s="3246">
        <v>16190</v>
      </c>
      <c r="N44" s="3233" t="s">
        <v>3043</v>
      </c>
      <c r="O44" s="3233" t="s">
        <v>3044</v>
      </c>
      <c r="P44" s="3240" t="s">
        <v>3045</v>
      </c>
      <c r="Q44" s="3233" t="s">
        <v>3046</v>
      </c>
    </row>
    <row r="45" spans="1:17" ht="14.25" customHeight="1" thickBot="1">
      <c r="A45" s="3233" t="s">
        <v>296</v>
      </c>
      <c r="B45" s="3234" t="s">
        <v>236</v>
      </c>
      <c r="C45" s="3233">
        <v>21240</v>
      </c>
      <c r="D45" s="3233">
        <v>27050</v>
      </c>
      <c r="E45" s="3233">
        <v>28000</v>
      </c>
      <c r="F45" s="3233"/>
      <c r="G45" s="3246">
        <v>18940</v>
      </c>
      <c r="N45" s="3233" t="s">
        <v>3047</v>
      </c>
      <c r="O45" s="3240" t="s">
        <v>3048</v>
      </c>
      <c r="Q45" s="3233" t="s">
        <v>3049</v>
      </c>
    </row>
    <row r="46" spans="1:17" ht="14.25" customHeight="1">
      <c r="A46" s="3233" t="s">
        <v>296</v>
      </c>
      <c r="B46" s="3234" t="s">
        <v>245</v>
      </c>
      <c r="C46" s="3233">
        <v>23240</v>
      </c>
      <c r="D46" s="3233">
        <v>23000</v>
      </c>
      <c r="E46" s="3233">
        <v>24980</v>
      </c>
      <c r="F46" s="3233"/>
      <c r="G46" s="3246">
        <v>16100</v>
      </c>
      <c r="N46" s="3233" t="s">
        <v>3050</v>
      </c>
      <c r="Q46" s="3233" t="s">
        <v>3051</v>
      </c>
    </row>
    <row r="47" spans="1:17" ht="14.25" customHeight="1">
      <c r="A47" s="3233" t="s">
        <v>296</v>
      </c>
      <c r="B47" s="3234" t="s">
        <v>252</v>
      </c>
      <c r="C47" s="3233">
        <v>27150</v>
      </c>
      <c r="D47" s="3233">
        <v>23310</v>
      </c>
      <c r="E47" s="3233">
        <v>25150</v>
      </c>
      <c r="F47" s="3233"/>
      <c r="G47" s="3246">
        <v>16310</v>
      </c>
      <c r="N47" s="3233" t="s">
        <v>3052</v>
      </c>
      <c r="Q47" s="3233" t="s">
        <v>3053</v>
      </c>
    </row>
    <row r="48" spans="1:17" ht="14.25" customHeight="1">
      <c r="A48" s="3233" t="s">
        <v>296</v>
      </c>
      <c r="B48" s="3234" t="s">
        <v>260</v>
      </c>
      <c r="C48" s="3233">
        <v>23100</v>
      </c>
      <c r="D48" s="3233">
        <v>21110</v>
      </c>
      <c r="E48" s="3233">
        <v>23080</v>
      </c>
      <c r="F48" s="3233"/>
      <c r="G48" s="3246">
        <v>14780</v>
      </c>
      <c r="N48" s="3233" t="s">
        <v>3054</v>
      </c>
      <c r="Q48" s="3233" t="s">
        <v>3055</v>
      </c>
    </row>
    <row r="49" spans="1:17" ht="14.25" customHeight="1">
      <c r="A49" s="3233" t="s">
        <v>296</v>
      </c>
      <c r="B49" s="3234" t="s">
        <v>267</v>
      </c>
      <c r="C49" s="3233">
        <v>23400</v>
      </c>
      <c r="D49" s="3233">
        <v>22920</v>
      </c>
      <c r="E49" s="3233">
        <v>24900</v>
      </c>
      <c r="F49" s="3233"/>
      <c r="G49" s="3246">
        <v>16040</v>
      </c>
      <c r="N49" s="3233" t="s">
        <v>3056</v>
      </c>
      <c r="Q49" s="3233" t="s">
        <v>3057</v>
      </c>
    </row>
    <row r="50" spans="1:17" ht="14.25" customHeight="1">
      <c r="A50" s="3233" t="s">
        <v>296</v>
      </c>
      <c r="B50" s="3234" t="s">
        <v>2934</v>
      </c>
      <c r="C50" s="3233">
        <v>21200</v>
      </c>
      <c r="D50" s="3233">
        <v>26540</v>
      </c>
      <c r="E50" s="3233">
        <v>23200</v>
      </c>
      <c r="F50" s="3233"/>
      <c r="G50" s="3246">
        <v>18580</v>
      </c>
      <c r="N50" s="3233" t="s">
        <v>3058</v>
      </c>
      <c r="Q50" s="3234" t="s">
        <v>3059</v>
      </c>
    </row>
    <row r="51" spans="1:17" ht="14.25" customHeight="1" thickBot="1">
      <c r="A51" s="3233" t="s">
        <v>296</v>
      </c>
      <c r="B51" s="3234" t="s">
        <v>2936</v>
      </c>
      <c r="C51" s="3233">
        <v>23000</v>
      </c>
      <c r="D51" s="3233">
        <v>23460</v>
      </c>
      <c r="E51" s="3233">
        <v>25290</v>
      </c>
      <c r="F51" s="3233"/>
      <c r="G51" s="3246">
        <v>16420</v>
      </c>
      <c r="N51" s="3233" t="s">
        <v>3060</v>
      </c>
      <c r="Q51" s="3240" t="s">
        <v>3061</v>
      </c>
    </row>
    <row r="52" spans="1:17" ht="14.25" customHeight="1">
      <c r="A52" s="3233" t="s">
        <v>296</v>
      </c>
      <c r="B52" s="3234" t="s">
        <v>2940</v>
      </c>
      <c r="C52" s="3233">
        <v>26660</v>
      </c>
      <c r="D52" s="3233">
        <v>22350</v>
      </c>
      <c r="E52" s="3233">
        <v>22920</v>
      </c>
      <c r="F52" s="3233"/>
      <c r="G52" s="3246">
        <v>15640</v>
      </c>
      <c r="N52" s="3233" t="s">
        <v>3062</v>
      </c>
    </row>
    <row r="53" spans="1:17" ht="14.25" customHeight="1">
      <c r="A53" s="3233" t="s">
        <v>296</v>
      </c>
      <c r="B53" s="3234" t="s">
        <v>2945</v>
      </c>
      <c r="C53" s="3233">
        <v>23580</v>
      </c>
      <c r="D53" s="3233"/>
      <c r="E53" s="3233">
        <v>24280</v>
      </c>
      <c r="F53" s="3233"/>
      <c r="G53" s="3246"/>
      <c r="N53" s="3233" t="s">
        <v>3063</v>
      </c>
    </row>
    <row r="54" spans="1:17" ht="14.25" customHeight="1" thickBot="1">
      <c r="A54" s="3247" t="s">
        <v>296</v>
      </c>
      <c r="B54" s="3239" t="s">
        <v>2948</v>
      </c>
      <c r="C54" s="3240">
        <v>22460</v>
      </c>
      <c r="D54" s="3240"/>
      <c r="E54" s="3240"/>
      <c r="F54" s="3240"/>
      <c r="G54" s="3248"/>
      <c r="N54" s="3233" t="s">
        <v>3064</v>
      </c>
    </row>
    <row r="55" spans="1:17" ht="14.25" customHeight="1">
      <c r="A55" s="3238" t="s">
        <v>110</v>
      </c>
      <c r="B55" s="3229" t="s">
        <v>3065</v>
      </c>
      <c r="C55" s="3233">
        <v>21970</v>
      </c>
      <c r="D55" s="3233">
        <v>20370</v>
      </c>
      <c r="E55" s="3233">
        <v>20180</v>
      </c>
      <c r="F55" s="3233">
        <v>5730</v>
      </c>
      <c r="G55" s="3233">
        <v>13820</v>
      </c>
      <c r="N55" s="3233" t="s">
        <v>3066</v>
      </c>
    </row>
    <row r="56" spans="1:17" ht="14.25" customHeight="1">
      <c r="A56" s="3233" t="s">
        <v>110</v>
      </c>
      <c r="B56" s="3233" t="s">
        <v>130</v>
      </c>
      <c r="C56" s="3233">
        <v>20470</v>
      </c>
      <c r="D56" s="3233">
        <v>20700</v>
      </c>
      <c r="E56" s="3233">
        <v>20380</v>
      </c>
      <c r="F56" s="3233">
        <v>4760</v>
      </c>
      <c r="G56" s="3233">
        <v>14050</v>
      </c>
      <c r="N56" s="3233" t="s">
        <v>3067</v>
      </c>
    </row>
    <row r="57" spans="1:17" ht="14.25" customHeight="1">
      <c r="A57" s="3233" t="s">
        <v>110</v>
      </c>
      <c r="B57" s="3233" t="s">
        <v>139</v>
      </c>
      <c r="C57" s="3233">
        <v>20790</v>
      </c>
      <c r="D57" s="3233">
        <v>21370</v>
      </c>
      <c r="E57" s="3233">
        <v>20890</v>
      </c>
      <c r="F57" s="3233">
        <v>4910</v>
      </c>
      <c r="G57" s="3233">
        <v>14510</v>
      </c>
      <c r="N57" s="3233" t="s">
        <v>3068</v>
      </c>
    </row>
    <row r="58" spans="1:17" ht="14.25" customHeight="1">
      <c r="A58" s="3233" t="s">
        <v>110</v>
      </c>
      <c r="B58" s="3233" t="s">
        <v>148</v>
      </c>
      <c r="C58" s="3233">
        <v>21460</v>
      </c>
      <c r="D58" s="3233">
        <v>20920</v>
      </c>
      <c r="E58" s="3233">
        <v>23410</v>
      </c>
      <c r="F58" s="3233">
        <v>5100</v>
      </c>
      <c r="G58" s="3233">
        <v>14200</v>
      </c>
      <c r="N58" s="3233" t="s">
        <v>3069</v>
      </c>
    </row>
    <row r="59" spans="1:17" ht="14.25" customHeight="1">
      <c r="A59" s="3233" t="s">
        <v>110</v>
      </c>
      <c r="B59" s="3233" t="s">
        <v>157</v>
      </c>
      <c r="C59" s="3233">
        <v>21000</v>
      </c>
      <c r="D59" s="3233">
        <v>21550</v>
      </c>
      <c r="E59" s="3233">
        <v>21150</v>
      </c>
      <c r="F59" s="3233">
        <v>5250</v>
      </c>
      <c r="G59" s="3233">
        <v>14630</v>
      </c>
      <c r="N59" s="3233" t="s">
        <v>3070</v>
      </c>
    </row>
    <row r="60" spans="1:17" ht="14.25" customHeight="1">
      <c r="A60" s="3233" t="s">
        <v>110</v>
      </c>
      <c r="B60" s="3233" t="s">
        <v>164</v>
      </c>
      <c r="C60" s="3233">
        <v>21640</v>
      </c>
      <c r="D60" s="3233">
        <v>21260</v>
      </c>
      <c r="E60" s="3233">
        <v>24040</v>
      </c>
      <c r="F60" s="3233">
        <v>4470</v>
      </c>
      <c r="G60" s="3233">
        <v>14430</v>
      </c>
      <c r="N60" s="3233" t="s">
        <v>3071</v>
      </c>
    </row>
    <row r="61" spans="1:17" ht="14.25" customHeight="1">
      <c r="A61" s="3233" t="s">
        <v>110</v>
      </c>
      <c r="B61" s="3233" t="s">
        <v>170</v>
      </c>
      <c r="C61" s="3233">
        <v>21330</v>
      </c>
      <c r="D61" s="3233">
        <v>18640</v>
      </c>
      <c r="E61" s="3233">
        <v>21190</v>
      </c>
      <c r="F61" s="3233">
        <v>4180</v>
      </c>
      <c r="G61" s="3233">
        <v>12650</v>
      </c>
      <c r="N61" s="3233" t="s">
        <v>3072</v>
      </c>
    </row>
    <row r="62" spans="1:17" ht="14.25" customHeight="1">
      <c r="A62" s="3233" t="s">
        <v>110</v>
      </c>
      <c r="B62" s="3233" t="s">
        <v>177</v>
      </c>
      <c r="C62" s="3233">
        <v>18710</v>
      </c>
      <c r="D62" s="3233">
        <v>19400</v>
      </c>
      <c r="E62" s="3233">
        <v>23750</v>
      </c>
      <c r="F62" s="3233">
        <v>4860</v>
      </c>
      <c r="G62" s="3233">
        <v>13170</v>
      </c>
      <c r="N62" s="3233" t="s">
        <v>3073</v>
      </c>
    </row>
    <row r="63" spans="1:17" ht="14.25" customHeight="1">
      <c r="A63" s="3233" t="s">
        <v>110</v>
      </c>
      <c r="B63" s="3233" t="s">
        <v>187</v>
      </c>
      <c r="C63" s="3233">
        <v>19480</v>
      </c>
      <c r="D63" s="3233">
        <v>16830</v>
      </c>
      <c r="E63" s="3233">
        <v>21590</v>
      </c>
      <c r="F63" s="3233">
        <v>4560</v>
      </c>
      <c r="G63" s="3233">
        <v>11420</v>
      </c>
      <c r="N63" s="3233" t="s">
        <v>3074</v>
      </c>
    </row>
    <row r="64" spans="1:17" ht="14.25" customHeight="1" thickBot="1">
      <c r="A64" s="3233" t="s">
        <v>110</v>
      </c>
      <c r="B64" s="3233" t="s">
        <v>196</v>
      </c>
      <c r="C64" s="3233">
        <v>16920</v>
      </c>
      <c r="D64" s="3233">
        <v>19190</v>
      </c>
      <c r="E64" s="3233">
        <v>22200</v>
      </c>
      <c r="F64" s="3233">
        <v>4390</v>
      </c>
      <c r="G64" s="3233">
        <v>13030</v>
      </c>
      <c r="N64" s="3240" t="s">
        <v>3075</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2946</v>
      </c>
      <c r="C78" s="3233">
        <v>19820</v>
      </c>
      <c r="D78" s="3233">
        <v>19780</v>
      </c>
      <c r="E78" s="3233">
        <v>18560</v>
      </c>
      <c r="F78" s="3233"/>
      <c r="G78" s="3233">
        <v>13430</v>
      </c>
    </row>
    <row r="79" spans="1:7" s="3222" customFormat="1" ht="14.25" customHeight="1">
      <c r="A79" s="3233" t="s">
        <v>110</v>
      </c>
      <c r="B79" s="3233" t="s">
        <v>2949</v>
      </c>
      <c r="C79" s="3233">
        <v>21660</v>
      </c>
      <c r="D79" s="3233">
        <v>18000</v>
      </c>
      <c r="E79" s="3233">
        <v>22570</v>
      </c>
      <c r="F79" s="3233"/>
      <c r="G79" s="3233">
        <v>12220</v>
      </c>
    </row>
    <row r="80" spans="1:7" s="3222" customFormat="1" ht="14.25" customHeight="1">
      <c r="A80" s="3233" t="s">
        <v>110</v>
      </c>
      <c r="B80" s="3233" t="s">
        <v>2953</v>
      </c>
      <c r="C80" s="3233">
        <v>19850</v>
      </c>
      <c r="D80" s="3233"/>
      <c r="E80" s="3233">
        <v>21700</v>
      </c>
      <c r="F80" s="3233"/>
      <c r="G80" s="3233"/>
    </row>
    <row r="81" spans="1:7" s="3222" customFormat="1" ht="14.25" customHeight="1">
      <c r="A81" s="3233" t="s">
        <v>110</v>
      </c>
      <c r="B81" s="3233" t="s">
        <v>2958</v>
      </c>
      <c r="C81" s="3233">
        <v>18080</v>
      </c>
      <c r="D81" s="3233"/>
      <c r="E81" s="3233">
        <v>20900</v>
      </c>
      <c r="F81" s="3233"/>
      <c r="G81" s="3233"/>
    </row>
    <row r="82" spans="1:7" s="3222" customFormat="1" ht="14.25" customHeight="1">
      <c r="A82" s="3233" t="s">
        <v>110</v>
      </c>
      <c r="B82" s="3233" t="s">
        <v>2965</v>
      </c>
      <c r="C82" s="3233"/>
      <c r="D82" s="3233"/>
      <c r="E82" s="3233">
        <v>20840</v>
      </c>
      <c r="F82" s="3233"/>
      <c r="G82" s="3233"/>
    </row>
    <row r="83" spans="1:7" s="3222" customFormat="1" ht="14.25" customHeight="1">
      <c r="A83" s="3233" t="s">
        <v>110</v>
      </c>
      <c r="B83" s="3233" t="s">
        <v>3076</v>
      </c>
      <c r="C83" s="3233"/>
      <c r="D83" s="3233"/>
      <c r="E83" s="3233"/>
      <c r="F83" s="3233">
        <v>4770</v>
      </c>
      <c r="G83" s="3233"/>
    </row>
    <row r="84" spans="1:7" s="3222" customFormat="1" ht="14.25" customHeight="1">
      <c r="A84" s="3233" t="s">
        <v>110</v>
      </c>
      <c r="B84" s="3233" t="s">
        <v>3077</v>
      </c>
      <c r="C84" s="3233"/>
      <c r="D84" s="3233"/>
      <c r="E84" s="3233"/>
      <c r="F84" s="3233">
        <v>4600</v>
      </c>
      <c r="G84" s="3233"/>
    </row>
    <row r="85" spans="1:7" s="3222" customFormat="1" ht="14.25" customHeight="1">
      <c r="A85" s="3233" t="s">
        <v>110</v>
      </c>
      <c r="B85" s="3233" t="s">
        <v>3078</v>
      </c>
      <c r="C85" s="3233"/>
      <c r="D85" s="3233"/>
      <c r="E85" s="3233"/>
      <c r="F85" s="3233">
        <v>4680</v>
      </c>
      <c r="G85" s="3233"/>
    </row>
    <row r="86" spans="1:7" s="3222" customFormat="1" ht="14.25" customHeight="1" thickBot="1">
      <c r="A86" s="3241" t="s">
        <v>110</v>
      </c>
      <c r="B86" s="3243" t="s">
        <v>3079</v>
      </c>
      <c r="C86" s="3244">
        <v>16610</v>
      </c>
      <c r="D86" s="3244">
        <v>16540</v>
      </c>
      <c r="E86" s="3244">
        <v>18850</v>
      </c>
      <c r="F86" s="3244"/>
      <c r="G86" s="3244">
        <v>11220</v>
      </c>
    </row>
    <row r="87" spans="1:7" s="3222" customFormat="1" ht="14.25" customHeight="1">
      <c r="A87" s="3238" t="s">
        <v>303</v>
      </c>
      <c r="B87" s="3229" t="s">
        <v>3080</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2959</v>
      </c>
      <c r="C113" s="3233">
        <v>15520</v>
      </c>
      <c r="D113" s="3233">
        <v>15450</v>
      </c>
      <c r="E113" s="3233"/>
      <c r="F113" s="3233"/>
      <c r="G113" s="3246">
        <v>10210</v>
      </c>
    </row>
    <row r="114" spans="1:7" s="3222" customFormat="1" ht="14.25" customHeight="1">
      <c r="A114" s="3233" t="s">
        <v>303</v>
      </c>
      <c r="B114" s="3233" t="s">
        <v>2966</v>
      </c>
      <c r="C114" s="3233">
        <v>13110</v>
      </c>
      <c r="D114" s="3233">
        <v>13050</v>
      </c>
      <c r="E114" s="3233"/>
      <c r="F114" s="3233"/>
      <c r="G114" s="3246">
        <v>8620</v>
      </c>
    </row>
    <row r="115" spans="1:7" s="3222" customFormat="1" ht="14.25" customHeight="1">
      <c r="A115" s="3233" t="s">
        <v>303</v>
      </c>
      <c r="B115" s="3233" t="s">
        <v>2972</v>
      </c>
      <c r="C115" s="3233">
        <v>12460</v>
      </c>
      <c r="D115" s="3233">
        <v>12390</v>
      </c>
      <c r="E115" s="3233"/>
      <c r="F115" s="3233"/>
      <c r="G115" s="3246">
        <v>8190</v>
      </c>
    </row>
    <row r="116" spans="1:7" s="3222" customFormat="1" ht="14.25" customHeight="1">
      <c r="A116" s="3233" t="s">
        <v>303</v>
      </c>
      <c r="B116" s="3233" t="s">
        <v>2979</v>
      </c>
      <c r="C116" s="3233">
        <v>13580</v>
      </c>
      <c r="D116" s="3233">
        <v>13520</v>
      </c>
      <c r="E116" s="3233"/>
      <c r="F116" s="3233"/>
      <c r="G116" s="3246">
        <v>8930</v>
      </c>
    </row>
    <row r="117" spans="1:7" s="3222" customFormat="1" ht="14.25" customHeight="1">
      <c r="A117" s="3233" t="s">
        <v>303</v>
      </c>
      <c r="B117" s="3233" t="s">
        <v>2986</v>
      </c>
      <c r="C117" s="3233">
        <v>17120</v>
      </c>
      <c r="D117" s="3233">
        <v>17040</v>
      </c>
      <c r="E117" s="3233"/>
      <c r="F117" s="3233"/>
      <c r="G117" s="3246">
        <v>11260</v>
      </c>
    </row>
    <row r="118" spans="1:7" s="3222" customFormat="1" ht="14.25" customHeight="1">
      <c r="A118" s="3233" t="s">
        <v>303</v>
      </c>
      <c r="B118" s="3233" t="s">
        <v>2991</v>
      </c>
      <c r="C118" s="3233">
        <v>14860</v>
      </c>
      <c r="D118" s="3233">
        <v>14790</v>
      </c>
      <c r="E118" s="3233"/>
      <c r="F118" s="3233"/>
      <c r="G118" s="3246">
        <v>9780</v>
      </c>
    </row>
    <row r="119" spans="1:7" s="3222" customFormat="1" ht="14.25" customHeight="1">
      <c r="A119" s="3233" t="s">
        <v>303</v>
      </c>
      <c r="B119" s="3233" t="s">
        <v>2995</v>
      </c>
      <c r="C119" s="3233">
        <v>16470</v>
      </c>
      <c r="D119" s="3233">
        <v>16400</v>
      </c>
      <c r="E119" s="3233"/>
      <c r="F119" s="3233"/>
      <c r="G119" s="3246">
        <v>10840</v>
      </c>
    </row>
    <row r="120" spans="1:7" s="3222" customFormat="1" ht="14.25" customHeight="1">
      <c r="A120" s="3233" t="s">
        <v>303</v>
      </c>
      <c r="B120" s="3233" t="s">
        <v>3081</v>
      </c>
      <c r="C120" s="3233"/>
      <c r="D120" s="3233"/>
      <c r="E120" s="3233"/>
      <c r="F120" s="3233">
        <v>4160</v>
      </c>
      <c r="G120" s="3246"/>
    </row>
    <row r="121" spans="1:7" s="3222" customFormat="1" ht="14.25" customHeight="1">
      <c r="A121" s="3233" t="s">
        <v>303</v>
      </c>
      <c r="B121" s="3233" t="s">
        <v>3082</v>
      </c>
      <c r="C121" s="3233"/>
      <c r="D121" s="3233"/>
      <c r="E121" s="3233"/>
      <c r="F121" s="3233">
        <v>3880</v>
      </c>
      <c r="G121" s="3246"/>
    </row>
    <row r="122" spans="1:7" s="3222" customFormat="1" ht="14.25" customHeight="1">
      <c r="A122" s="3233" t="s">
        <v>303</v>
      </c>
      <c r="B122" s="3233" t="s">
        <v>3083</v>
      </c>
      <c r="C122" s="3233">
        <v>13750</v>
      </c>
      <c r="D122" s="3233">
        <v>13680</v>
      </c>
      <c r="E122" s="3233">
        <v>16460</v>
      </c>
      <c r="F122" s="3233">
        <v>2880</v>
      </c>
      <c r="G122" s="3246">
        <v>9040</v>
      </c>
    </row>
    <row r="123" spans="1:7" s="3222" customFormat="1" ht="14.25" customHeight="1">
      <c r="A123" s="3233" t="s">
        <v>303</v>
      </c>
      <c r="B123" s="3233" t="s">
        <v>3014</v>
      </c>
      <c r="C123" s="3233">
        <v>13590</v>
      </c>
      <c r="D123" s="3233">
        <v>13520</v>
      </c>
      <c r="E123" s="3233">
        <v>16290</v>
      </c>
      <c r="F123" s="3233">
        <v>2790</v>
      </c>
      <c r="G123" s="3246">
        <v>8930</v>
      </c>
    </row>
    <row r="124" spans="1:7" s="3222" customFormat="1" ht="14.25" customHeight="1">
      <c r="A124" s="3233" t="s">
        <v>303</v>
      </c>
      <c r="B124" s="3233" t="s">
        <v>3019</v>
      </c>
      <c r="C124" s="3233">
        <v>13400</v>
      </c>
      <c r="D124" s="3233">
        <v>13320</v>
      </c>
      <c r="E124" s="3233">
        <v>16100</v>
      </c>
      <c r="F124" s="3233">
        <v>2320</v>
      </c>
      <c r="G124" s="3246">
        <v>8800</v>
      </c>
    </row>
    <row r="125" spans="1:7" s="3222" customFormat="1" ht="14.25" customHeight="1">
      <c r="A125" s="3233" t="s">
        <v>303</v>
      </c>
      <c r="B125" s="3233" t="s">
        <v>3024</v>
      </c>
      <c r="C125" s="3233">
        <v>12860</v>
      </c>
      <c r="D125" s="3233">
        <v>12790</v>
      </c>
      <c r="E125" s="3233">
        <v>15370</v>
      </c>
      <c r="F125" s="3233">
        <v>2280</v>
      </c>
      <c r="G125" s="3246">
        <v>8450</v>
      </c>
    </row>
    <row r="126" spans="1:7" s="3222" customFormat="1" ht="14.25" customHeight="1" thickBot="1">
      <c r="A126" s="3247" t="s">
        <v>303</v>
      </c>
      <c r="B126" s="3240" t="s">
        <v>3029</v>
      </c>
      <c r="C126" s="3240">
        <v>12960</v>
      </c>
      <c r="D126" s="3240">
        <v>12890</v>
      </c>
      <c r="E126" s="3240">
        <v>15530</v>
      </c>
      <c r="F126" s="3240">
        <v>2910</v>
      </c>
      <c r="G126" s="3248">
        <v>8520</v>
      </c>
    </row>
    <row r="127" spans="1:7" s="3222" customFormat="1" ht="14.25" customHeight="1">
      <c r="A127" s="3238" t="s">
        <v>29</v>
      </c>
      <c r="B127" s="3229" t="s">
        <v>3084</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3085</v>
      </c>
      <c r="C148" s="3233">
        <v>10370</v>
      </c>
      <c r="D148" s="3233">
        <v>10310</v>
      </c>
      <c r="E148" s="3233">
        <v>12970</v>
      </c>
      <c r="F148" s="3233"/>
      <c r="G148" s="3233">
        <v>6630</v>
      </c>
    </row>
    <row r="149" spans="1:7" s="3222" customFormat="1" ht="14.25" customHeight="1">
      <c r="A149" s="3233" t="s">
        <v>29</v>
      </c>
      <c r="B149" s="3233" t="s">
        <v>3086</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2960</v>
      </c>
      <c r="C153" s="3233">
        <v>10880</v>
      </c>
      <c r="D153" s="3233">
        <v>10820</v>
      </c>
      <c r="E153" s="3233">
        <v>13660</v>
      </c>
      <c r="F153" s="3233">
        <v>2260</v>
      </c>
      <c r="G153" s="3233">
        <v>6970</v>
      </c>
    </row>
    <row r="154" spans="1:7" s="3222" customFormat="1" ht="14.25" customHeight="1">
      <c r="A154" s="3233" t="s">
        <v>29</v>
      </c>
      <c r="B154" s="3233" t="s">
        <v>3087</v>
      </c>
      <c r="C154" s="3233">
        <v>11220</v>
      </c>
      <c r="D154" s="3233">
        <v>11160</v>
      </c>
      <c r="E154" s="3233">
        <v>14130</v>
      </c>
      <c r="F154" s="3233">
        <v>2230</v>
      </c>
      <c r="G154" s="3233">
        <v>7180</v>
      </c>
    </row>
    <row r="155" spans="1:7" s="3222" customFormat="1" ht="14.25" customHeight="1">
      <c r="A155" s="3233" t="s">
        <v>29</v>
      </c>
      <c r="B155" s="3233" t="s">
        <v>2973</v>
      </c>
      <c r="C155" s="3233">
        <v>10430</v>
      </c>
      <c r="D155" s="3233">
        <v>10380</v>
      </c>
      <c r="E155" s="3233">
        <v>13140</v>
      </c>
      <c r="F155" s="3233">
        <v>2080</v>
      </c>
      <c r="G155" s="3233">
        <v>6650</v>
      </c>
    </row>
    <row r="156" spans="1:7" s="3222" customFormat="1" ht="14.25" customHeight="1">
      <c r="A156" s="3233" t="s">
        <v>29</v>
      </c>
      <c r="B156" s="3233" t="s">
        <v>3088</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3089</v>
      </c>
      <c r="C160" s="3233">
        <v>11180</v>
      </c>
      <c r="D160" s="3233">
        <v>11140</v>
      </c>
      <c r="E160" s="3233">
        <v>14050</v>
      </c>
      <c r="F160" s="3233">
        <v>2270</v>
      </c>
      <c r="G160" s="3233">
        <v>7170</v>
      </c>
    </row>
    <row r="161" spans="1:7" s="3222" customFormat="1" ht="14.25" customHeight="1">
      <c r="A161" s="3233" t="s">
        <v>29</v>
      </c>
      <c r="B161" s="3233" t="s">
        <v>3005</v>
      </c>
      <c r="C161" s="3233">
        <v>11160</v>
      </c>
      <c r="D161" s="3233">
        <v>11120</v>
      </c>
      <c r="E161" s="3233">
        <v>14020</v>
      </c>
      <c r="F161" s="3233">
        <v>2150</v>
      </c>
      <c r="G161" s="3233">
        <v>7160</v>
      </c>
    </row>
    <row r="162" spans="1:7" s="3222" customFormat="1" ht="14.25" customHeight="1">
      <c r="A162" s="3233" t="s">
        <v>29</v>
      </c>
      <c r="B162" s="3233" t="s">
        <v>3010</v>
      </c>
      <c r="C162" s="3233">
        <v>9620</v>
      </c>
      <c r="D162" s="3233">
        <v>9570</v>
      </c>
      <c r="E162" s="3233">
        <v>12320</v>
      </c>
      <c r="F162" s="3233">
        <v>2010</v>
      </c>
      <c r="G162" s="3233">
        <v>6160</v>
      </c>
    </row>
    <row r="163" spans="1:7" s="3222" customFormat="1" ht="14.25" customHeight="1">
      <c r="A163" s="3233" t="s">
        <v>29</v>
      </c>
      <c r="B163" s="3233" t="s">
        <v>3015</v>
      </c>
      <c r="C163" s="3233">
        <v>9320</v>
      </c>
      <c r="D163" s="3233">
        <v>9270</v>
      </c>
      <c r="E163" s="3233">
        <v>11790</v>
      </c>
      <c r="F163" s="3233">
        <v>1920</v>
      </c>
      <c r="G163" s="3233">
        <v>5960</v>
      </c>
    </row>
    <row r="164" spans="1:7" s="3222" customFormat="1" ht="14.25" customHeight="1">
      <c r="A164" s="3233" t="s">
        <v>29</v>
      </c>
      <c r="B164" s="3233" t="s">
        <v>3020</v>
      </c>
      <c r="C164" s="3233"/>
      <c r="D164" s="3233"/>
      <c r="E164" s="3233"/>
      <c r="F164" s="3233">
        <v>1980</v>
      </c>
      <c r="G164" s="3233"/>
    </row>
    <row r="165" spans="1:7" s="3222" customFormat="1" ht="14.25" customHeight="1">
      <c r="A165" s="3233" t="s">
        <v>29</v>
      </c>
      <c r="B165" s="3233" t="s">
        <v>3090</v>
      </c>
      <c r="C165" s="3233">
        <v>11060</v>
      </c>
      <c r="D165" s="3233">
        <v>11030</v>
      </c>
      <c r="E165" s="3233">
        <v>13850</v>
      </c>
      <c r="F165" s="3233">
        <v>2170</v>
      </c>
      <c r="G165" s="3233">
        <v>7090</v>
      </c>
    </row>
    <row r="166" spans="1:7" s="3222" customFormat="1" ht="14.25" customHeight="1">
      <c r="A166" s="3233" t="s">
        <v>29</v>
      </c>
      <c r="B166" s="3233" t="s">
        <v>3030</v>
      </c>
      <c r="C166" s="3233">
        <v>11050</v>
      </c>
      <c r="D166" s="3233">
        <v>11010</v>
      </c>
      <c r="E166" s="3233">
        <v>13920</v>
      </c>
      <c r="F166" s="3233">
        <v>2140</v>
      </c>
      <c r="G166" s="3233">
        <v>7080</v>
      </c>
    </row>
    <row r="167" spans="1:7" s="3222" customFormat="1" ht="14.25" customHeight="1">
      <c r="A167" s="3233" t="s">
        <v>29</v>
      </c>
      <c r="B167" s="3233" t="s">
        <v>3034</v>
      </c>
      <c r="C167" s="3233">
        <v>10930</v>
      </c>
      <c r="D167" s="3233">
        <v>10890</v>
      </c>
      <c r="E167" s="3233">
        <v>13790</v>
      </c>
      <c r="F167" s="3233">
        <v>2010</v>
      </c>
      <c r="G167" s="3233">
        <v>7000</v>
      </c>
    </row>
    <row r="168" spans="1:7" s="3222" customFormat="1" ht="14.25" customHeight="1">
      <c r="A168" s="3233" t="s">
        <v>29</v>
      </c>
      <c r="B168" s="3233" t="s">
        <v>3039</v>
      </c>
      <c r="C168" s="3233">
        <v>9420</v>
      </c>
      <c r="D168" s="3233">
        <v>9380</v>
      </c>
      <c r="E168" s="3233">
        <v>11970</v>
      </c>
      <c r="F168" s="3233"/>
      <c r="G168" s="3233">
        <v>6040</v>
      </c>
    </row>
    <row r="169" spans="1:7" s="3222" customFormat="1" ht="14.25" customHeight="1">
      <c r="A169" s="3233" t="s">
        <v>29</v>
      </c>
      <c r="B169" s="3233" t="s">
        <v>3091</v>
      </c>
      <c r="C169" s="3233"/>
      <c r="D169" s="3233"/>
      <c r="E169" s="3233"/>
      <c r="F169" s="3233">
        <v>2880</v>
      </c>
      <c r="G169" s="3233"/>
    </row>
    <row r="170" spans="1:7" s="3222" customFormat="1" ht="14.25" customHeight="1">
      <c r="A170" s="3233" t="s">
        <v>29</v>
      </c>
      <c r="B170" s="3233" t="s">
        <v>3047</v>
      </c>
      <c r="C170" s="3233"/>
      <c r="D170" s="3233"/>
      <c r="E170" s="3233"/>
      <c r="F170" s="3233">
        <v>2880</v>
      </c>
      <c r="G170" s="3233"/>
    </row>
    <row r="171" spans="1:7" s="3222" customFormat="1" ht="14.25" customHeight="1">
      <c r="A171" s="3233" t="s">
        <v>29</v>
      </c>
      <c r="B171" s="3233" t="s">
        <v>3050</v>
      </c>
      <c r="C171" s="3233"/>
      <c r="D171" s="3233"/>
      <c r="E171" s="3233"/>
      <c r="F171" s="3233">
        <v>2880</v>
      </c>
      <c r="G171" s="3233"/>
    </row>
    <row r="172" spans="1:7" s="3222" customFormat="1" ht="14.25" customHeight="1">
      <c r="A172" s="3233" t="s">
        <v>29</v>
      </c>
      <c r="B172" s="3233" t="s">
        <v>3052</v>
      </c>
      <c r="C172" s="3233"/>
      <c r="D172" s="3233"/>
      <c r="E172" s="3233"/>
      <c r="F172" s="3233">
        <v>2880</v>
      </c>
      <c r="G172" s="3233"/>
    </row>
    <row r="173" spans="1:7" s="3222" customFormat="1" ht="14.25" customHeight="1">
      <c r="A173" s="3233" t="s">
        <v>29</v>
      </c>
      <c r="B173" s="3233" t="s">
        <v>3054</v>
      </c>
      <c r="C173" s="3233"/>
      <c r="D173" s="3233"/>
      <c r="E173" s="3233"/>
      <c r="F173" s="3233">
        <v>2150</v>
      </c>
      <c r="G173" s="3233"/>
    </row>
    <row r="174" spans="1:7" s="3222" customFormat="1" ht="14.25" customHeight="1">
      <c r="A174" s="3233" t="s">
        <v>29</v>
      </c>
      <c r="B174" s="3233" t="s">
        <v>3056</v>
      </c>
      <c r="C174" s="3233"/>
      <c r="D174" s="3233"/>
      <c r="E174" s="3233"/>
      <c r="F174" s="3233">
        <v>2030</v>
      </c>
      <c r="G174" s="3233"/>
    </row>
    <row r="175" spans="1:7" s="3222" customFormat="1" ht="14.25" customHeight="1">
      <c r="A175" s="3233" t="s">
        <v>29</v>
      </c>
      <c r="B175" s="3233" t="s">
        <v>3058</v>
      </c>
      <c r="C175" s="3233"/>
      <c r="D175" s="3233"/>
      <c r="E175" s="3233"/>
      <c r="F175" s="3233">
        <v>2780</v>
      </c>
      <c r="G175" s="3233"/>
    </row>
    <row r="176" spans="1:7" s="3222" customFormat="1" ht="14.25" customHeight="1">
      <c r="A176" s="3233" t="s">
        <v>29</v>
      </c>
      <c r="B176" s="3233" t="s">
        <v>3060</v>
      </c>
      <c r="C176" s="3233"/>
      <c r="D176" s="3233"/>
      <c r="E176" s="3233"/>
      <c r="F176" s="3233">
        <v>2780</v>
      </c>
      <c r="G176" s="3233"/>
    </row>
    <row r="177" spans="1:7" s="3222" customFormat="1" ht="14.25" customHeight="1">
      <c r="A177" s="3233" t="s">
        <v>29</v>
      </c>
      <c r="B177" s="3233" t="s">
        <v>3092</v>
      </c>
      <c r="C177" s="3233"/>
      <c r="D177" s="3233"/>
      <c r="E177" s="3233"/>
      <c r="F177" s="3233">
        <v>2780</v>
      </c>
      <c r="G177" s="3233"/>
    </row>
    <row r="178" spans="1:7" s="3222" customFormat="1" ht="14.25" customHeight="1">
      <c r="A178" s="3233" t="s">
        <v>29</v>
      </c>
      <c r="B178" s="3233" t="s">
        <v>3093</v>
      </c>
      <c r="C178" s="3233"/>
      <c r="D178" s="3233"/>
      <c r="E178" s="3233"/>
      <c r="F178" s="3233">
        <v>2060</v>
      </c>
      <c r="G178" s="3233"/>
    </row>
    <row r="179" spans="1:7" s="3222" customFormat="1" ht="14.25" customHeight="1">
      <c r="A179" s="3233" t="s">
        <v>29</v>
      </c>
      <c r="B179" s="3233" t="s">
        <v>3094</v>
      </c>
      <c r="C179" s="3233"/>
      <c r="D179" s="3233"/>
      <c r="E179" s="3233"/>
      <c r="F179" s="3233">
        <v>2120</v>
      </c>
      <c r="G179" s="3233"/>
    </row>
    <row r="180" spans="1:7" s="3222" customFormat="1" ht="14.25" customHeight="1">
      <c r="A180" s="3233" t="s">
        <v>29</v>
      </c>
      <c r="B180" s="3233" t="s">
        <v>3066</v>
      </c>
      <c r="C180" s="3233"/>
      <c r="D180" s="3233"/>
      <c r="E180" s="3233"/>
      <c r="F180" s="3233">
        <v>2340</v>
      </c>
      <c r="G180" s="3233"/>
    </row>
    <row r="181" spans="1:7" s="3222" customFormat="1" ht="14.25" customHeight="1">
      <c r="A181" s="3233" t="s">
        <v>29</v>
      </c>
      <c r="B181" s="3233" t="s">
        <v>3067</v>
      </c>
      <c r="C181" s="3233"/>
      <c r="D181" s="3233"/>
      <c r="E181" s="3233"/>
      <c r="F181" s="3233">
        <v>2340</v>
      </c>
      <c r="G181" s="3233"/>
    </row>
    <row r="182" spans="1:7" s="3222" customFormat="1" ht="14.25" customHeight="1">
      <c r="A182" s="3233" t="s">
        <v>29</v>
      </c>
      <c r="B182" s="3233" t="s">
        <v>3068</v>
      </c>
      <c r="C182" s="3233"/>
      <c r="D182" s="3233"/>
      <c r="E182" s="3233"/>
      <c r="F182" s="3233">
        <v>2340</v>
      </c>
      <c r="G182" s="3233"/>
    </row>
    <row r="183" spans="1:7" s="3222" customFormat="1" ht="14.25" customHeight="1">
      <c r="A183" s="3233" t="s">
        <v>29</v>
      </c>
      <c r="B183" s="3233" t="s">
        <v>3069</v>
      </c>
      <c r="C183" s="3233"/>
      <c r="D183" s="3233"/>
      <c r="E183" s="3233"/>
      <c r="F183" s="3233">
        <v>2340</v>
      </c>
      <c r="G183" s="3233"/>
    </row>
    <row r="184" spans="1:7" s="3222" customFormat="1" ht="14.25" customHeight="1">
      <c r="A184" s="3233" t="s">
        <v>29</v>
      </c>
      <c r="B184" s="3233" t="s">
        <v>3070</v>
      </c>
      <c r="C184" s="3233"/>
      <c r="D184" s="3233"/>
      <c r="E184" s="3233"/>
      <c r="F184" s="3233">
        <v>2340</v>
      </c>
      <c r="G184" s="3233"/>
    </row>
    <row r="185" spans="1:7" s="3222" customFormat="1" ht="14.25" customHeight="1">
      <c r="A185" s="3233" t="s">
        <v>29</v>
      </c>
      <c r="B185" s="3233" t="s">
        <v>3071</v>
      </c>
      <c r="C185" s="3233"/>
      <c r="D185" s="3233"/>
      <c r="E185" s="3233"/>
      <c r="F185" s="3233">
        <v>2530</v>
      </c>
      <c r="G185" s="3233"/>
    </row>
    <row r="186" spans="1:7" s="3222" customFormat="1" ht="14.25" customHeight="1">
      <c r="A186" s="3233" t="s">
        <v>29</v>
      </c>
      <c r="B186" s="3233" t="s">
        <v>3072</v>
      </c>
      <c r="C186" s="3233"/>
      <c r="D186" s="3233"/>
      <c r="E186" s="3233"/>
      <c r="F186" s="3233">
        <v>2550</v>
      </c>
      <c r="G186" s="3233"/>
    </row>
    <row r="187" spans="1:7" s="3222" customFormat="1" ht="14.25" customHeight="1">
      <c r="A187" s="3233" t="s">
        <v>29</v>
      </c>
      <c r="B187" s="3233" t="s">
        <v>3073</v>
      </c>
      <c r="C187" s="3233"/>
      <c r="D187" s="3233"/>
      <c r="E187" s="3233"/>
      <c r="F187" s="3233">
        <v>2070</v>
      </c>
      <c r="G187" s="3233"/>
    </row>
    <row r="188" spans="1:7" s="3222" customFormat="1" ht="14.25" customHeight="1">
      <c r="A188" s="3233" t="s">
        <v>29</v>
      </c>
      <c r="B188" s="3233" t="s">
        <v>3074</v>
      </c>
      <c r="C188" s="3233"/>
      <c r="D188" s="3233"/>
      <c r="E188" s="3233"/>
      <c r="F188" s="3233">
        <v>2340</v>
      </c>
      <c r="G188" s="3233"/>
    </row>
    <row r="189" spans="1:7" s="3222" customFormat="1" ht="14.25" customHeight="1" thickBot="1">
      <c r="A189" s="3241" t="s">
        <v>29</v>
      </c>
      <c r="B189" s="3244" t="s">
        <v>3075</v>
      </c>
      <c r="C189" s="3244"/>
      <c r="D189" s="3244"/>
      <c r="E189" s="3244"/>
      <c r="F189" s="3244">
        <v>2050</v>
      </c>
      <c r="G189" s="3244"/>
    </row>
    <row r="190" spans="1:7" s="3222" customFormat="1" ht="14.25" customHeight="1">
      <c r="A190" s="3238" t="s">
        <v>304</v>
      </c>
      <c r="B190" s="3229" t="s">
        <v>3095</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3096</v>
      </c>
      <c r="C199" s="3233">
        <v>8690</v>
      </c>
      <c r="D199" s="3233">
        <v>8630</v>
      </c>
      <c r="E199" s="3233">
        <v>11350</v>
      </c>
      <c r="F199" s="3233">
        <v>1600</v>
      </c>
      <c r="G199" s="3246">
        <v>5450</v>
      </c>
    </row>
    <row r="200" spans="1:7" s="3222" customFormat="1" ht="14.25" customHeight="1">
      <c r="A200" s="3233" t="s">
        <v>304</v>
      </c>
      <c r="B200" s="3233" t="s">
        <v>2907</v>
      </c>
      <c r="C200" s="3233"/>
      <c r="D200" s="3233"/>
      <c r="E200" s="3233"/>
      <c r="F200" s="3233">
        <v>1510</v>
      </c>
      <c r="G200" s="3246"/>
    </row>
    <row r="201" spans="1:7" s="3222" customFormat="1" ht="14.25" customHeight="1">
      <c r="A201" s="3233" t="s">
        <v>304</v>
      </c>
      <c r="B201" s="3233" t="s">
        <v>3097</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3098</v>
      </c>
      <c r="C203" s="3233">
        <v>8130</v>
      </c>
      <c r="D203" s="3233">
        <v>8070</v>
      </c>
      <c r="E203" s="3233">
        <v>10820</v>
      </c>
      <c r="F203" s="3233">
        <v>1690</v>
      </c>
      <c r="G203" s="3246">
        <v>5100</v>
      </c>
    </row>
    <row r="204" spans="1:7" s="3222" customFormat="1" ht="14.25" customHeight="1">
      <c r="A204" s="3233" t="s">
        <v>304</v>
      </c>
      <c r="B204" s="3233" t="s">
        <v>2918</v>
      </c>
      <c r="C204" s="3233">
        <v>8350</v>
      </c>
      <c r="D204" s="3233">
        <v>8290</v>
      </c>
      <c r="E204" s="3233">
        <v>11080</v>
      </c>
      <c r="F204" s="3233">
        <v>1450</v>
      </c>
      <c r="G204" s="3246">
        <v>5240</v>
      </c>
    </row>
    <row r="205" spans="1:7" s="3222" customFormat="1" ht="14.25" customHeight="1">
      <c r="A205" s="3233" t="s">
        <v>304</v>
      </c>
      <c r="B205" s="3233" t="s">
        <v>2920</v>
      </c>
      <c r="C205" s="3233">
        <v>7190</v>
      </c>
      <c r="D205" s="3233">
        <v>7130</v>
      </c>
      <c r="E205" s="3233">
        <v>9490</v>
      </c>
      <c r="F205" s="3233">
        <v>1470</v>
      </c>
      <c r="G205" s="3246">
        <v>4510</v>
      </c>
    </row>
    <row r="206" spans="1:7" s="3222" customFormat="1" ht="14.25" customHeight="1">
      <c r="A206" s="3233" t="s">
        <v>304</v>
      </c>
      <c r="B206" s="3233" t="s">
        <v>2923</v>
      </c>
      <c r="C206" s="3233">
        <v>7000</v>
      </c>
      <c r="D206" s="3233">
        <v>6950</v>
      </c>
      <c r="E206" s="3233">
        <v>9170</v>
      </c>
      <c r="F206" s="3233">
        <v>1400</v>
      </c>
      <c r="G206" s="3246">
        <v>4380</v>
      </c>
    </row>
    <row r="207" spans="1:7" s="3222" customFormat="1" ht="14.25" customHeight="1">
      <c r="A207" s="3233" t="s">
        <v>304</v>
      </c>
      <c r="B207" s="3233" t="s">
        <v>2925</v>
      </c>
      <c r="C207" s="3233">
        <v>6950</v>
      </c>
      <c r="D207" s="3233">
        <v>6900</v>
      </c>
      <c r="E207" s="3233">
        <v>9110</v>
      </c>
      <c r="F207" s="3233">
        <v>1790</v>
      </c>
      <c r="G207" s="3246">
        <v>4360</v>
      </c>
    </row>
    <row r="208" spans="1:7" s="3222" customFormat="1" ht="14.25" customHeight="1">
      <c r="A208" s="3233" t="s">
        <v>304</v>
      </c>
      <c r="B208" s="3233" t="s">
        <v>3099</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2935</v>
      </c>
      <c r="C210" s="3233">
        <v>8710</v>
      </c>
      <c r="D210" s="3233">
        <v>8660</v>
      </c>
      <c r="E210" s="3233">
        <v>11440</v>
      </c>
      <c r="F210" s="3233">
        <v>1740</v>
      </c>
      <c r="G210" s="3246">
        <v>5470</v>
      </c>
    </row>
    <row r="211" spans="1:7" s="3222" customFormat="1" ht="14.25" customHeight="1">
      <c r="A211" s="3233" t="s">
        <v>304</v>
      </c>
      <c r="B211" s="3233" t="s">
        <v>3100</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3101</v>
      </c>
      <c r="C214" s="3233">
        <v>8090</v>
      </c>
      <c r="D214" s="3233">
        <v>8030</v>
      </c>
      <c r="E214" s="3233">
        <v>10780</v>
      </c>
      <c r="F214" s="3233">
        <v>1570</v>
      </c>
      <c r="G214" s="3246">
        <v>5070</v>
      </c>
    </row>
    <row r="215" spans="1:7" s="3222" customFormat="1" ht="14.25" customHeight="1">
      <c r="A215" s="3233" t="s">
        <v>304</v>
      </c>
      <c r="B215" s="3233" t="s">
        <v>3102</v>
      </c>
      <c r="C215" s="3233">
        <v>7950</v>
      </c>
      <c r="D215" s="3233">
        <v>7900</v>
      </c>
      <c r="E215" s="3233">
        <v>10560</v>
      </c>
      <c r="F215" s="3233">
        <v>1630</v>
      </c>
      <c r="G215" s="3246">
        <v>4990</v>
      </c>
    </row>
    <row r="216" spans="1:7" s="3222" customFormat="1" ht="14.25" customHeight="1">
      <c r="A216" s="3233" t="s">
        <v>304</v>
      </c>
      <c r="B216" s="3233" t="s">
        <v>3103</v>
      </c>
      <c r="C216" s="3233">
        <v>8490</v>
      </c>
      <c r="D216" s="3233">
        <v>8440</v>
      </c>
      <c r="E216" s="3233">
        <v>11260</v>
      </c>
      <c r="F216" s="3233">
        <v>1690</v>
      </c>
      <c r="G216" s="3246">
        <v>5330</v>
      </c>
    </row>
    <row r="217" spans="1:7" s="3222" customFormat="1" ht="14.25" customHeight="1">
      <c r="A217" s="3233" t="s">
        <v>304</v>
      </c>
      <c r="B217" s="3233" t="s">
        <v>2968</v>
      </c>
      <c r="C217" s="3233">
        <v>8200</v>
      </c>
      <c r="D217" s="3233">
        <v>8150</v>
      </c>
      <c r="E217" s="3233">
        <v>10910</v>
      </c>
      <c r="F217" s="3233">
        <v>1670</v>
      </c>
      <c r="G217" s="3246">
        <v>5150</v>
      </c>
    </row>
    <row r="218" spans="1:7" s="3222" customFormat="1" ht="14.25" customHeight="1">
      <c r="A218" s="3233" t="s">
        <v>304</v>
      </c>
      <c r="B218" s="3233" t="s">
        <v>3104</v>
      </c>
      <c r="C218" s="3233"/>
      <c r="D218" s="3233"/>
      <c r="E218" s="3233"/>
      <c r="F218" s="3233">
        <v>2040</v>
      </c>
      <c r="G218" s="3246"/>
    </row>
    <row r="219" spans="1:7" s="3222" customFormat="1" ht="14.25" customHeight="1">
      <c r="A219" s="3233" t="s">
        <v>304</v>
      </c>
      <c r="B219" s="3233" t="s">
        <v>3105</v>
      </c>
      <c r="C219" s="3233"/>
      <c r="D219" s="3233"/>
      <c r="E219" s="3233"/>
      <c r="F219" s="3233">
        <v>2040</v>
      </c>
      <c r="G219" s="3246"/>
    </row>
    <row r="220" spans="1:7" s="3222" customFormat="1" ht="14.25" customHeight="1">
      <c r="A220" s="3233" t="s">
        <v>304</v>
      </c>
      <c r="B220" s="3233" t="s">
        <v>3106</v>
      </c>
      <c r="C220" s="3233"/>
      <c r="D220" s="3233"/>
      <c r="E220" s="3233"/>
      <c r="F220" s="3233">
        <v>2040</v>
      </c>
      <c r="G220" s="3246"/>
    </row>
    <row r="221" spans="1:7" s="3222" customFormat="1" ht="14.25" customHeight="1">
      <c r="A221" s="3233" t="s">
        <v>304</v>
      </c>
      <c r="B221" s="3233" t="s">
        <v>3107</v>
      </c>
      <c r="C221" s="3233"/>
      <c r="D221" s="3233"/>
      <c r="E221" s="3233"/>
      <c r="F221" s="3233">
        <v>2040</v>
      </c>
      <c r="G221" s="3246"/>
    </row>
    <row r="222" spans="1:7" s="3222" customFormat="1" ht="14.25" customHeight="1">
      <c r="A222" s="3233" t="s">
        <v>304</v>
      </c>
      <c r="B222" s="3233" t="s">
        <v>3108</v>
      </c>
      <c r="C222" s="3233"/>
      <c r="D222" s="3233"/>
      <c r="E222" s="3233"/>
      <c r="F222" s="3233">
        <v>2040</v>
      </c>
      <c r="G222" s="3246"/>
    </row>
    <row r="223" spans="1:7" s="3222" customFormat="1" ht="14.25" customHeight="1">
      <c r="A223" s="3233" t="s">
        <v>304</v>
      </c>
      <c r="B223" s="3233" t="s">
        <v>3109</v>
      </c>
      <c r="C223" s="3233"/>
      <c r="D223" s="3233"/>
      <c r="E223" s="3233"/>
      <c r="F223" s="3233">
        <v>1930</v>
      </c>
      <c r="G223" s="3246"/>
    </row>
    <row r="224" spans="1:7" s="3222" customFormat="1" ht="14.25" customHeight="1">
      <c r="A224" s="3233" t="s">
        <v>304</v>
      </c>
      <c r="B224" s="3233" t="s">
        <v>3110</v>
      </c>
      <c r="C224" s="3233"/>
      <c r="D224" s="3233"/>
      <c r="E224" s="3233"/>
      <c r="F224" s="3233">
        <v>1930</v>
      </c>
      <c r="G224" s="3246"/>
    </row>
    <row r="225" spans="1:7" s="3222" customFormat="1" ht="14.25" customHeight="1">
      <c r="A225" s="3233" t="s">
        <v>304</v>
      </c>
      <c r="B225" s="3233" t="s">
        <v>3111</v>
      </c>
      <c r="C225" s="3233"/>
      <c r="D225" s="3233"/>
      <c r="E225" s="3233"/>
      <c r="F225" s="3233">
        <v>1930</v>
      </c>
      <c r="G225" s="3246"/>
    </row>
    <row r="226" spans="1:7" s="3222" customFormat="1" ht="14.25" customHeight="1">
      <c r="A226" s="3233" t="s">
        <v>304</v>
      </c>
      <c r="B226" s="3233" t="s">
        <v>3112</v>
      </c>
      <c r="C226" s="3233"/>
      <c r="D226" s="3233"/>
      <c r="E226" s="3233"/>
      <c r="F226" s="3233">
        <v>1700</v>
      </c>
      <c r="G226" s="3246"/>
    </row>
    <row r="227" spans="1:7" s="3222" customFormat="1" ht="14.25" customHeight="1">
      <c r="A227" s="3233" t="s">
        <v>304</v>
      </c>
      <c r="B227" s="3233" t="s">
        <v>3113</v>
      </c>
      <c r="C227" s="3233"/>
      <c r="D227" s="3233"/>
      <c r="E227" s="3233"/>
      <c r="F227" s="3233">
        <v>1520</v>
      </c>
      <c r="G227" s="3246"/>
    </row>
    <row r="228" spans="1:7" s="3222" customFormat="1" ht="14.25" customHeight="1">
      <c r="A228" s="3233" t="s">
        <v>304</v>
      </c>
      <c r="B228" s="3233" t="s">
        <v>3114</v>
      </c>
      <c r="C228" s="3233"/>
      <c r="D228" s="3233"/>
      <c r="E228" s="3233"/>
      <c r="F228" s="3233">
        <v>1520</v>
      </c>
      <c r="G228" s="3246"/>
    </row>
    <row r="229" spans="1:7" s="3222" customFormat="1" ht="14.25" customHeight="1">
      <c r="A229" s="3233" t="s">
        <v>304</v>
      </c>
      <c r="B229" s="3233" t="s">
        <v>3031</v>
      </c>
      <c r="C229" s="3233"/>
      <c r="D229" s="3233"/>
      <c r="E229" s="3233"/>
      <c r="F229" s="3233">
        <v>1520</v>
      </c>
      <c r="G229" s="3246"/>
    </row>
    <row r="230" spans="1:7" s="3222" customFormat="1" ht="14.25" customHeight="1">
      <c r="A230" s="3233" t="s">
        <v>304</v>
      </c>
      <c r="B230" s="3233" t="s">
        <v>3115</v>
      </c>
      <c r="C230" s="3233"/>
      <c r="D230" s="3233"/>
      <c r="E230" s="3233"/>
      <c r="F230" s="3233">
        <v>1820</v>
      </c>
      <c r="G230" s="3246"/>
    </row>
    <row r="231" spans="1:7" s="3222" customFormat="1" ht="14.25" customHeight="1">
      <c r="A231" s="3233" t="s">
        <v>304</v>
      </c>
      <c r="B231" s="3233" t="s">
        <v>3116</v>
      </c>
      <c r="C231" s="3233"/>
      <c r="D231" s="3233"/>
      <c r="E231" s="3233"/>
      <c r="F231" s="3233">
        <v>1760</v>
      </c>
      <c r="G231" s="3246"/>
    </row>
    <row r="232" spans="1:7" s="3222" customFormat="1" ht="14.25" customHeight="1">
      <c r="A232" s="3233" t="s">
        <v>304</v>
      </c>
      <c r="B232" s="3233" t="s">
        <v>3117</v>
      </c>
      <c r="C232" s="3233"/>
      <c r="D232" s="3233"/>
      <c r="E232" s="3233"/>
      <c r="F232" s="3233">
        <v>1840</v>
      </c>
      <c r="G232" s="3246"/>
    </row>
    <row r="233" spans="1:7" s="3222" customFormat="1" ht="14.25" customHeight="1" thickBot="1">
      <c r="A233" s="3247" t="s">
        <v>304</v>
      </c>
      <c r="B233" s="3240" t="s">
        <v>3048</v>
      </c>
      <c r="C233" s="3240"/>
      <c r="D233" s="3240"/>
      <c r="E233" s="3240"/>
      <c r="F233" s="3240">
        <v>1770</v>
      </c>
      <c r="G233" s="3248"/>
    </row>
    <row r="234" spans="1:7" s="3222" customFormat="1" ht="14.25" customHeight="1">
      <c r="A234" s="3238" t="s">
        <v>305</v>
      </c>
      <c r="B234" s="3229" t="s">
        <v>3118</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2889</v>
      </c>
      <c r="C238" s="3233">
        <v>6920</v>
      </c>
      <c r="D238" s="3233">
        <v>6890</v>
      </c>
      <c r="E238" s="3233">
        <v>8640</v>
      </c>
      <c r="F238" s="3233">
        <v>1310</v>
      </c>
      <c r="G238" s="3233">
        <v>4230</v>
      </c>
    </row>
    <row r="239" spans="1:7" s="3222" customFormat="1" ht="14.25" customHeight="1">
      <c r="A239" s="3233" t="s">
        <v>305</v>
      </c>
      <c r="B239" s="3233" t="s">
        <v>3119</v>
      </c>
      <c r="C239" s="3233">
        <v>6780</v>
      </c>
      <c r="D239" s="3233">
        <v>6750</v>
      </c>
      <c r="E239" s="3233">
        <v>8440</v>
      </c>
      <c r="F239" s="3233">
        <v>1160</v>
      </c>
      <c r="G239" s="3233">
        <v>4140</v>
      </c>
    </row>
    <row r="240" spans="1:7" s="3222" customFormat="1" ht="14.25" customHeight="1">
      <c r="A240" s="3233" t="s">
        <v>305</v>
      </c>
      <c r="B240" s="3233" t="s">
        <v>3120</v>
      </c>
      <c r="C240" s="3233">
        <v>5420</v>
      </c>
      <c r="D240" s="3233">
        <v>5380</v>
      </c>
      <c r="E240" s="3233">
        <v>6640</v>
      </c>
      <c r="F240" s="3233">
        <v>1020</v>
      </c>
      <c r="G240" s="3233">
        <v>3300</v>
      </c>
    </row>
    <row r="241" spans="1:7" s="3222" customFormat="1" ht="14.25" customHeight="1">
      <c r="A241" s="3233" t="s">
        <v>305</v>
      </c>
      <c r="B241" s="3233" t="s">
        <v>3121</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3122</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3123</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3124</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3125</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3126</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2951</v>
      </c>
      <c r="C258" s="3233">
        <v>6190</v>
      </c>
      <c r="D258" s="3233">
        <v>6160</v>
      </c>
      <c r="E258" s="3233">
        <v>7680</v>
      </c>
      <c r="F258" s="3233">
        <v>1170</v>
      </c>
      <c r="G258" s="3233">
        <v>3780</v>
      </c>
    </row>
    <row r="259" spans="1:7" s="3222" customFormat="1" ht="14.25" customHeight="1">
      <c r="A259" s="3233" t="s">
        <v>305</v>
      </c>
      <c r="B259" s="3233" t="s">
        <v>3127</v>
      </c>
      <c r="C259" s="3233">
        <v>7610</v>
      </c>
      <c r="D259" s="3233">
        <v>7570</v>
      </c>
      <c r="E259" s="3233">
        <v>9350</v>
      </c>
      <c r="F259" s="3233">
        <v>1350</v>
      </c>
      <c r="G259" s="3233">
        <v>4650</v>
      </c>
    </row>
    <row r="260" spans="1:7" s="3222" customFormat="1" ht="14.25" customHeight="1">
      <c r="A260" s="3233" t="s">
        <v>305</v>
      </c>
      <c r="B260" s="3233" t="s">
        <v>3128</v>
      </c>
      <c r="C260" s="3233">
        <v>6920</v>
      </c>
      <c r="D260" s="3233">
        <v>6880</v>
      </c>
      <c r="E260" s="3233">
        <v>8380</v>
      </c>
      <c r="F260" s="3233">
        <v>1160</v>
      </c>
      <c r="G260" s="3233">
        <v>4220</v>
      </c>
    </row>
    <row r="261" spans="1:7" s="3222" customFormat="1" ht="14.25" customHeight="1">
      <c r="A261" s="3233" t="s">
        <v>305</v>
      </c>
      <c r="B261" s="3233" t="s">
        <v>3129</v>
      </c>
      <c r="C261" s="3233">
        <v>6850</v>
      </c>
      <c r="D261" s="3233">
        <v>6810</v>
      </c>
      <c r="E261" s="3233">
        <v>8290</v>
      </c>
      <c r="F261" s="3233">
        <v>1130</v>
      </c>
      <c r="G261" s="3233">
        <v>4180</v>
      </c>
    </row>
    <row r="262" spans="1:7" s="3222" customFormat="1" ht="14.25" customHeight="1">
      <c r="A262" s="3233" t="s">
        <v>305</v>
      </c>
      <c r="B262" s="3233" t="s">
        <v>3130</v>
      </c>
      <c r="C262" s="3233">
        <v>5860</v>
      </c>
      <c r="D262" s="3233">
        <v>5820</v>
      </c>
      <c r="E262" s="3233">
        <v>7640</v>
      </c>
      <c r="F262" s="3233">
        <v>1070</v>
      </c>
      <c r="G262" s="3233">
        <v>3570</v>
      </c>
    </row>
    <row r="263" spans="1:7" s="3222" customFormat="1" ht="14.25" customHeight="1">
      <c r="A263" s="3233" t="s">
        <v>305</v>
      </c>
      <c r="B263" s="3233" t="s">
        <v>3131</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3132</v>
      </c>
      <c r="C265" s="3233"/>
      <c r="D265" s="3233"/>
      <c r="E265" s="3233"/>
      <c r="F265" s="3233">
        <v>1500</v>
      </c>
      <c r="G265" s="3233"/>
    </row>
    <row r="266" spans="1:7" s="3222" customFormat="1" ht="14.25" customHeight="1">
      <c r="A266" s="3233" t="s">
        <v>305</v>
      </c>
      <c r="B266" s="3233" t="s">
        <v>3133</v>
      </c>
      <c r="C266" s="3233"/>
      <c r="D266" s="3233"/>
      <c r="E266" s="3233"/>
      <c r="F266" s="3233">
        <v>1500</v>
      </c>
      <c r="G266" s="3233"/>
    </row>
    <row r="267" spans="1:7" s="3222" customFormat="1" ht="14.25" customHeight="1">
      <c r="A267" s="3233" t="s">
        <v>305</v>
      </c>
      <c r="B267" s="3233" t="s">
        <v>3134</v>
      </c>
      <c r="C267" s="3233"/>
      <c r="D267" s="3233"/>
      <c r="E267" s="3233"/>
      <c r="F267" s="3233">
        <v>1500</v>
      </c>
      <c r="G267" s="3233"/>
    </row>
    <row r="268" spans="1:7" s="3222" customFormat="1" ht="14.25" customHeight="1">
      <c r="A268" s="3233" t="s">
        <v>305</v>
      </c>
      <c r="B268" s="3233" t="s">
        <v>3135</v>
      </c>
      <c r="C268" s="3233"/>
      <c r="D268" s="3233"/>
      <c r="E268" s="3233"/>
      <c r="F268" s="3233">
        <v>1290</v>
      </c>
      <c r="G268" s="3233"/>
    </row>
    <row r="269" spans="1:7" s="3222" customFormat="1" ht="14.25" customHeight="1">
      <c r="A269" s="3233" t="s">
        <v>305</v>
      </c>
      <c r="B269" s="3233" t="s">
        <v>3136</v>
      </c>
      <c r="C269" s="3233"/>
      <c r="D269" s="3233"/>
      <c r="E269" s="3233"/>
      <c r="F269" s="3233">
        <v>1150</v>
      </c>
      <c r="G269" s="3233"/>
    </row>
    <row r="270" spans="1:7" s="3222" customFormat="1" ht="14.25" customHeight="1">
      <c r="A270" s="3233" t="s">
        <v>305</v>
      </c>
      <c r="B270" s="3233" t="s">
        <v>3137</v>
      </c>
      <c r="C270" s="3233"/>
      <c r="D270" s="3233"/>
      <c r="E270" s="3233"/>
      <c r="F270" s="3233">
        <v>1380</v>
      </c>
      <c r="G270" s="3233"/>
    </row>
    <row r="271" spans="1:7" s="3222" customFormat="1" ht="14.25" customHeight="1">
      <c r="A271" s="3233" t="s">
        <v>305</v>
      </c>
      <c r="B271" s="3233" t="s">
        <v>3138</v>
      </c>
      <c r="C271" s="3233"/>
      <c r="D271" s="3233"/>
      <c r="E271" s="3233"/>
      <c r="F271" s="3233">
        <v>1460</v>
      </c>
      <c r="G271" s="3233"/>
    </row>
    <row r="272" spans="1:7" s="3222" customFormat="1" ht="14.25" customHeight="1">
      <c r="A272" s="3233" t="s">
        <v>305</v>
      </c>
      <c r="B272" s="3233" t="s">
        <v>3139</v>
      </c>
      <c r="C272" s="3233"/>
      <c r="D272" s="3233"/>
      <c r="E272" s="3233"/>
      <c r="F272" s="3233">
        <v>1460</v>
      </c>
      <c r="G272" s="3233"/>
    </row>
    <row r="273" spans="1:7" s="3222" customFormat="1" ht="14.25" customHeight="1">
      <c r="A273" s="3233" t="s">
        <v>305</v>
      </c>
      <c r="B273" s="3233" t="s">
        <v>3032</v>
      </c>
      <c r="C273" s="3233"/>
      <c r="D273" s="3233"/>
      <c r="E273" s="3233"/>
      <c r="F273" s="3233">
        <v>1490</v>
      </c>
      <c r="G273" s="3233"/>
    </row>
    <row r="274" spans="1:7" s="3222" customFormat="1" ht="14.25" customHeight="1">
      <c r="A274" s="3233" t="s">
        <v>305</v>
      </c>
      <c r="B274" s="3233" t="s">
        <v>3140</v>
      </c>
      <c r="C274" s="3233"/>
      <c r="D274" s="3233"/>
      <c r="E274" s="3233"/>
      <c r="F274" s="3233">
        <v>1490</v>
      </c>
      <c r="G274" s="3233"/>
    </row>
    <row r="275" spans="1:7" s="3222" customFormat="1" ht="14.25" customHeight="1">
      <c r="A275" s="3233" t="s">
        <v>305</v>
      </c>
      <c r="B275" s="3233" t="s">
        <v>3141</v>
      </c>
      <c r="C275" s="3233"/>
      <c r="D275" s="3233"/>
      <c r="E275" s="3233"/>
      <c r="F275" s="3233">
        <v>1220</v>
      </c>
      <c r="G275" s="3233"/>
    </row>
    <row r="276" spans="1:7" s="3222" customFormat="1" ht="14.25" customHeight="1" thickBot="1">
      <c r="A276" s="3241" t="s">
        <v>305</v>
      </c>
      <c r="B276" s="3243" t="s">
        <v>3142</v>
      </c>
      <c r="C276" s="3244"/>
      <c r="D276" s="3244"/>
      <c r="E276" s="3244"/>
      <c r="F276" s="3244">
        <v>1380</v>
      </c>
      <c r="G276" s="3244"/>
    </row>
    <row r="277" spans="1:7" s="3222" customFormat="1" ht="14.25" customHeight="1">
      <c r="A277" s="3238" t="s">
        <v>306</v>
      </c>
      <c r="B277" s="3229" t="s">
        <v>3143</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3144</v>
      </c>
      <c r="C279" s="3233">
        <v>4760</v>
      </c>
      <c r="D279" s="3233">
        <v>4720</v>
      </c>
      <c r="E279" s="3233">
        <v>5540</v>
      </c>
      <c r="F279" s="3233">
        <v>810</v>
      </c>
      <c r="G279" s="3246">
        <v>2850</v>
      </c>
    </row>
    <row r="280" spans="1:7" s="3222" customFormat="1" ht="14.25" customHeight="1">
      <c r="A280" s="3233" t="s">
        <v>306</v>
      </c>
      <c r="B280" s="3233" t="s">
        <v>3145</v>
      </c>
      <c r="C280" s="3233">
        <v>4010</v>
      </c>
      <c r="D280" s="3233">
        <v>3950</v>
      </c>
      <c r="E280" s="3233">
        <v>4710</v>
      </c>
      <c r="F280" s="3233">
        <v>800</v>
      </c>
      <c r="G280" s="3246">
        <v>2390</v>
      </c>
    </row>
    <row r="281" spans="1:7" s="3222" customFormat="1" ht="14.25" customHeight="1">
      <c r="A281" s="3233" t="s">
        <v>306</v>
      </c>
      <c r="B281" s="3233" t="s">
        <v>3146</v>
      </c>
      <c r="C281" s="3233">
        <v>4480</v>
      </c>
      <c r="D281" s="3233">
        <v>4420</v>
      </c>
      <c r="E281" s="3233">
        <v>5230</v>
      </c>
      <c r="F281" s="3233">
        <v>870</v>
      </c>
      <c r="G281" s="3246">
        <v>2660</v>
      </c>
    </row>
    <row r="282" spans="1:7" s="3222" customFormat="1" ht="14.25" customHeight="1">
      <c r="A282" s="3233" t="s">
        <v>306</v>
      </c>
      <c r="B282" s="3233" t="s">
        <v>3147</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3148</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3149</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2924</v>
      </c>
      <c r="C293" s="3233">
        <v>5320</v>
      </c>
      <c r="D293" s="3233">
        <v>5270</v>
      </c>
      <c r="E293" s="3233">
        <v>6160</v>
      </c>
      <c r="F293" s="3233">
        <v>990</v>
      </c>
      <c r="G293" s="3246">
        <v>3170</v>
      </c>
    </row>
    <row r="294" spans="1:7" s="3222" customFormat="1" ht="14.25" customHeight="1">
      <c r="A294" s="3233" t="s">
        <v>306</v>
      </c>
      <c r="B294" s="3233" t="s">
        <v>3150</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2943</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3151</v>
      </c>
      <c r="C302" s="3233">
        <v>5520</v>
      </c>
      <c r="D302" s="3233">
        <v>5470</v>
      </c>
      <c r="E302" s="3233">
        <v>6410</v>
      </c>
      <c r="F302" s="3233">
        <v>950</v>
      </c>
      <c r="G302" s="3246">
        <v>3300</v>
      </c>
    </row>
    <row r="303" spans="1:7" s="3222" customFormat="1" ht="14.25" customHeight="1">
      <c r="A303" s="3233" t="s">
        <v>306</v>
      </c>
      <c r="B303" s="3233" t="s">
        <v>2963</v>
      </c>
      <c r="C303" s="3233">
        <v>5630</v>
      </c>
      <c r="D303" s="3233">
        <v>5590</v>
      </c>
      <c r="E303" s="3233">
        <v>6550</v>
      </c>
      <c r="F303" s="3233">
        <v>1010</v>
      </c>
      <c r="G303" s="3246">
        <v>3370</v>
      </c>
    </row>
    <row r="304" spans="1:7" s="3222" customFormat="1" ht="14.25" customHeight="1">
      <c r="A304" s="3233" t="s">
        <v>306</v>
      </c>
      <c r="B304" s="3233" t="s">
        <v>2970</v>
      </c>
      <c r="C304" s="3233">
        <v>5680</v>
      </c>
      <c r="D304" s="3233">
        <v>5620</v>
      </c>
      <c r="E304" s="3233">
        <v>6620</v>
      </c>
      <c r="F304" s="3233">
        <v>1050</v>
      </c>
      <c r="G304" s="3246">
        <v>3390</v>
      </c>
    </row>
    <row r="305" spans="1:7" s="3222" customFormat="1" ht="14.25" customHeight="1">
      <c r="A305" s="3233" t="s">
        <v>306</v>
      </c>
      <c r="B305" s="3233" t="s">
        <v>2976</v>
      </c>
      <c r="C305" s="3233">
        <v>5590</v>
      </c>
      <c r="D305" s="3233">
        <v>5530</v>
      </c>
      <c r="E305" s="3233">
        <v>6460</v>
      </c>
      <c r="F305" s="3233">
        <v>900</v>
      </c>
      <c r="G305" s="3246">
        <v>3340</v>
      </c>
    </row>
    <row r="306" spans="1:7" s="3222" customFormat="1" ht="14.25" customHeight="1">
      <c r="A306" s="3233" t="s">
        <v>306</v>
      </c>
      <c r="B306" s="3233" t="s">
        <v>3152</v>
      </c>
      <c r="C306" s="3233">
        <v>5560</v>
      </c>
      <c r="D306" s="3233">
        <v>5510</v>
      </c>
      <c r="E306" s="3233">
        <v>6440</v>
      </c>
      <c r="F306" s="3233">
        <v>900</v>
      </c>
      <c r="G306" s="3246">
        <v>3320</v>
      </c>
    </row>
    <row r="307" spans="1:7" s="3222" customFormat="1" ht="14.25" customHeight="1">
      <c r="A307" s="3233" t="s">
        <v>306</v>
      </c>
      <c r="B307" s="3233" t="s">
        <v>2988</v>
      </c>
      <c r="C307" s="3233">
        <v>5650</v>
      </c>
      <c r="D307" s="3233">
        <v>5600</v>
      </c>
      <c r="E307" s="3233">
        <v>6590</v>
      </c>
      <c r="F307" s="3233">
        <v>930</v>
      </c>
      <c r="G307" s="3246">
        <v>3380</v>
      </c>
    </row>
    <row r="308" spans="1:7" s="3222" customFormat="1" ht="14.25" customHeight="1">
      <c r="A308" s="3233" t="s">
        <v>306</v>
      </c>
      <c r="B308" s="3233" t="s">
        <v>3153</v>
      </c>
      <c r="C308" s="3233">
        <v>5620</v>
      </c>
      <c r="D308" s="3233">
        <v>5580</v>
      </c>
      <c r="E308" s="3233">
        <v>6540</v>
      </c>
      <c r="F308" s="3233">
        <v>910</v>
      </c>
      <c r="G308" s="3246">
        <v>3370</v>
      </c>
    </row>
    <row r="309" spans="1:7" s="3222" customFormat="1" ht="14.25" customHeight="1">
      <c r="A309" s="3233" t="s">
        <v>306</v>
      </c>
      <c r="B309" s="3233" t="s">
        <v>3154</v>
      </c>
      <c r="C309" s="3233">
        <v>5060</v>
      </c>
      <c r="D309" s="3233">
        <v>5020</v>
      </c>
      <c r="E309" s="3233">
        <v>6370</v>
      </c>
      <c r="F309" s="3233">
        <v>800</v>
      </c>
      <c r="G309" s="3246">
        <v>3020</v>
      </c>
    </row>
    <row r="310" spans="1:7" s="3222" customFormat="1" ht="14.25" customHeight="1">
      <c r="A310" s="3233" t="s">
        <v>306</v>
      </c>
      <c r="B310" s="3233" t="s">
        <v>3003</v>
      </c>
      <c r="C310" s="3233">
        <v>5150</v>
      </c>
      <c r="D310" s="3233">
        <v>5110</v>
      </c>
      <c r="E310" s="3233">
        <v>6500</v>
      </c>
      <c r="F310" s="3233">
        <v>880</v>
      </c>
      <c r="G310" s="3246">
        <v>3080</v>
      </c>
    </row>
    <row r="311" spans="1:7" s="3222" customFormat="1" ht="14.25" customHeight="1">
      <c r="A311" s="3233" t="s">
        <v>306</v>
      </c>
      <c r="B311" s="3233" t="s">
        <v>3155</v>
      </c>
      <c r="C311" s="3233">
        <v>4750</v>
      </c>
      <c r="D311" s="3233">
        <v>4710</v>
      </c>
      <c r="E311" s="3233">
        <v>5510</v>
      </c>
      <c r="F311" s="3233">
        <v>880</v>
      </c>
      <c r="G311" s="3246">
        <v>2840</v>
      </c>
    </row>
    <row r="312" spans="1:7" s="3222" customFormat="1" ht="14.25" customHeight="1">
      <c r="A312" s="3233" t="s">
        <v>306</v>
      </c>
      <c r="B312" s="3233" t="s">
        <v>3013</v>
      </c>
      <c r="C312" s="3233">
        <v>4690</v>
      </c>
      <c r="D312" s="3233">
        <v>4640</v>
      </c>
      <c r="E312" s="3233">
        <v>5420</v>
      </c>
      <c r="F312" s="3233">
        <v>800</v>
      </c>
      <c r="G312" s="3246">
        <v>2800</v>
      </c>
    </row>
    <row r="313" spans="1:7" s="3222" customFormat="1" ht="14.25" customHeight="1">
      <c r="A313" s="3233" t="s">
        <v>306</v>
      </c>
      <c r="B313" s="3233" t="s">
        <v>3018</v>
      </c>
      <c r="C313" s="3233">
        <v>4810</v>
      </c>
      <c r="D313" s="3233">
        <v>4760</v>
      </c>
      <c r="E313" s="3233">
        <v>5550</v>
      </c>
      <c r="F313" s="3233">
        <v>920</v>
      </c>
      <c r="G313" s="3246">
        <v>2870</v>
      </c>
    </row>
    <row r="314" spans="1:7" s="3222" customFormat="1" ht="14.25" customHeight="1">
      <c r="A314" s="3233" t="s">
        <v>306</v>
      </c>
      <c r="B314" s="3233" t="s">
        <v>3156</v>
      </c>
      <c r="C314" s="3233"/>
      <c r="D314" s="3233"/>
      <c r="E314" s="3233"/>
      <c r="F314" s="3233">
        <v>1020</v>
      </c>
      <c r="G314" s="3246"/>
    </row>
    <row r="315" spans="1:7" s="3222" customFormat="1" ht="14.25" customHeight="1">
      <c r="A315" s="3233" t="s">
        <v>306</v>
      </c>
      <c r="B315" s="3233" t="s">
        <v>3157</v>
      </c>
      <c r="C315" s="3233"/>
      <c r="D315" s="3233"/>
      <c r="E315" s="3233"/>
      <c r="F315" s="3233">
        <v>1050</v>
      </c>
      <c r="G315" s="3246"/>
    </row>
    <row r="316" spans="1:7" s="3222" customFormat="1" ht="14.25" customHeight="1">
      <c r="A316" s="3233" t="s">
        <v>306</v>
      </c>
      <c r="B316" s="3233" t="s">
        <v>3033</v>
      </c>
      <c r="C316" s="3233"/>
      <c r="D316" s="3233"/>
      <c r="E316" s="3233"/>
      <c r="F316" s="3233">
        <v>900</v>
      </c>
      <c r="G316" s="3246"/>
    </row>
    <row r="317" spans="1:7" s="3222" customFormat="1" ht="14.25" customHeight="1">
      <c r="A317" s="3233" t="s">
        <v>306</v>
      </c>
      <c r="B317" s="3233" t="s">
        <v>3158</v>
      </c>
      <c r="C317" s="3233"/>
      <c r="D317" s="3233"/>
      <c r="E317" s="3233"/>
      <c r="F317" s="3233">
        <v>920</v>
      </c>
      <c r="G317" s="3246"/>
    </row>
    <row r="318" spans="1:7" s="3222" customFormat="1" ht="14.25" customHeight="1">
      <c r="A318" s="3233" t="s">
        <v>306</v>
      </c>
      <c r="B318" s="3233" t="s">
        <v>3159</v>
      </c>
      <c r="C318" s="3233"/>
      <c r="D318" s="3233"/>
      <c r="E318" s="3233"/>
      <c r="F318" s="3233">
        <v>1080</v>
      </c>
      <c r="G318" s="3246"/>
    </row>
    <row r="319" spans="1:7" s="3222" customFormat="1" ht="14.25" customHeight="1">
      <c r="A319" s="3233" t="s">
        <v>306</v>
      </c>
      <c r="B319" s="3233" t="s">
        <v>3046</v>
      </c>
      <c r="C319" s="3233"/>
      <c r="D319" s="3233"/>
      <c r="E319" s="3233"/>
      <c r="F319" s="3233">
        <v>1020</v>
      </c>
      <c r="G319" s="3246"/>
    </row>
    <row r="320" spans="1:7" s="3222" customFormat="1" ht="14.25" customHeight="1">
      <c r="A320" s="3233" t="s">
        <v>306</v>
      </c>
      <c r="B320" s="3233" t="s">
        <v>3049</v>
      </c>
      <c r="C320" s="3233"/>
      <c r="D320" s="3233"/>
      <c r="E320" s="3233"/>
      <c r="F320" s="3233">
        <v>1050</v>
      </c>
      <c r="G320" s="3246"/>
    </row>
    <row r="321" spans="1:7" s="3222" customFormat="1" ht="14.25" customHeight="1">
      <c r="A321" s="3233" t="s">
        <v>306</v>
      </c>
      <c r="B321" s="3233" t="s">
        <v>3051</v>
      </c>
      <c r="C321" s="3233"/>
      <c r="D321" s="3233"/>
      <c r="E321" s="3233"/>
      <c r="F321" s="3233">
        <v>960</v>
      </c>
      <c r="G321" s="3246"/>
    </row>
    <row r="322" spans="1:7" s="3222" customFormat="1" ht="14.25" customHeight="1">
      <c r="A322" s="3233" t="s">
        <v>306</v>
      </c>
      <c r="B322" s="3233" t="s">
        <v>3053</v>
      </c>
      <c r="C322" s="3233"/>
      <c r="D322" s="3233"/>
      <c r="E322" s="3233"/>
      <c r="F322" s="3233">
        <v>960</v>
      </c>
      <c r="G322" s="3246"/>
    </row>
    <row r="323" spans="1:7" s="3222" customFormat="1" ht="14.25" customHeight="1">
      <c r="A323" s="3233" t="s">
        <v>306</v>
      </c>
      <c r="B323" s="3233" t="s">
        <v>3055</v>
      </c>
      <c r="C323" s="3233"/>
      <c r="D323" s="3233"/>
      <c r="E323" s="3233"/>
      <c r="F323" s="3233">
        <v>880</v>
      </c>
      <c r="G323" s="3246"/>
    </row>
    <row r="324" spans="1:7" s="3222" customFormat="1" ht="14.25" customHeight="1">
      <c r="A324" s="3233" t="s">
        <v>306</v>
      </c>
      <c r="B324" s="3233" t="s">
        <v>3057</v>
      </c>
      <c r="C324" s="3233"/>
      <c r="D324" s="3233"/>
      <c r="E324" s="3233"/>
      <c r="F324" s="3233">
        <v>930</v>
      </c>
      <c r="G324" s="3246"/>
    </row>
    <row r="325" spans="1:7" s="3222" customFormat="1" ht="14.25" customHeight="1">
      <c r="A325" s="3233" t="s">
        <v>306</v>
      </c>
      <c r="B325" s="3234" t="s">
        <v>3059</v>
      </c>
      <c r="C325" s="3233"/>
      <c r="D325" s="3233"/>
      <c r="E325" s="3233"/>
      <c r="F325" s="3233">
        <v>900</v>
      </c>
      <c r="G325" s="3246"/>
    </row>
    <row r="326" spans="1:7" s="3222" customFormat="1" ht="14.25" customHeight="1" thickBot="1">
      <c r="A326" s="3247" t="s">
        <v>306</v>
      </c>
      <c r="B326" s="3240" t="s">
        <v>3061</v>
      </c>
      <c r="C326" s="3240"/>
      <c r="D326" s="3240"/>
      <c r="E326" s="3240"/>
      <c r="F326" s="3240">
        <v>790</v>
      </c>
      <c r="G326" s="3248"/>
    </row>
    <row r="327" spans="1:7" s="3222" customFormat="1" ht="14.25" customHeight="1">
      <c r="A327" s="3238" t="s">
        <v>307</v>
      </c>
      <c r="B327" s="3229" t="s">
        <v>3160</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3161</v>
      </c>
      <c r="C329" s="3233">
        <v>2730</v>
      </c>
      <c r="D329" s="3233">
        <v>2690</v>
      </c>
      <c r="E329" s="3233">
        <v>3100</v>
      </c>
      <c r="F329" s="3233">
        <v>660</v>
      </c>
      <c r="G329" s="3233">
        <v>1610</v>
      </c>
    </row>
    <row r="330" spans="1:7" s="3222" customFormat="1" ht="14.25" customHeight="1">
      <c r="A330" s="3233" t="s">
        <v>307</v>
      </c>
      <c r="B330" s="3233" t="s">
        <v>3162</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2895</v>
      </c>
      <c r="C332" s="3233">
        <v>3520</v>
      </c>
      <c r="D332" s="3233">
        <v>3480</v>
      </c>
      <c r="E332" s="3233">
        <v>3830</v>
      </c>
      <c r="F332" s="3233">
        <v>720</v>
      </c>
      <c r="G332" s="3233">
        <v>2090</v>
      </c>
    </row>
    <row r="333" spans="1:7" s="3222" customFormat="1" ht="14.25" customHeight="1">
      <c r="A333" s="3233" t="s">
        <v>307</v>
      </c>
      <c r="B333" s="3233" t="s">
        <v>3163</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2905</v>
      </c>
      <c r="C336" s="3233">
        <v>3570</v>
      </c>
      <c r="D336" s="3233">
        <v>3530</v>
      </c>
      <c r="E336" s="3233">
        <v>3880</v>
      </c>
      <c r="F336" s="3233">
        <v>770</v>
      </c>
      <c r="G336" s="3233">
        <v>2110</v>
      </c>
    </row>
    <row r="337" spans="1:10" s="3222" customFormat="1" ht="14.25" customHeight="1">
      <c r="A337" s="3233" t="s">
        <v>307</v>
      </c>
      <c r="B337" s="3233" t="s">
        <v>3164</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3165</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3166</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2930</v>
      </c>
      <c r="C345" s="3233">
        <v>3190</v>
      </c>
      <c r="D345" s="3233">
        <v>3140</v>
      </c>
      <c r="E345" s="3233">
        <v>3450</v>
      </c>
      <c r="F345" s="3233">
        <v>720</v>
      </c>
      <c r="G345" s="3233">
        <v>1880</v>
      </c>
      <c r="J345" s="3222"/>
    </row>
    <row r="346" spans="1:10">
      <c r="A346" s="3233" t="s">
        <v>307</v>
      </c>
      <c r="B346" s="3233" t="s">
        <v>3167</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2939</v>
      </c>
      <c r="C348" s="3233">
        <v>4000</v>
      </c>
      <c r="D348" s="3233">
        <v>3950</v>
      </c>
      <c r="E348" s="3233">
        <v>4430</v>
      </c>
      <c r="F348" s="3233">
        <v>760</v>
      </c>
      <c r="G348" s="3233">
        <v>2360</v>
      </c>
      <c r="J348" s="3222"/>
    </row>
    <row r="349" spans="1:10">
      <c r="A349" s="3233" t="s">
        <v>307</v>
      </c>
      <c r="B349" s="3233" t="s">
        <v>2944</v>
      </c>
      <c r="C349" s="3233">
        <v>3820</v>
      </c>
      <c r="D349" s="3233">
        <v>3780</v>
      </c>
      <c r="E349" s="3233">
        <v>4170</v>
      </c>
      <c r="F349" s="3233">
        <v>710</v>
      </c>
      <c r="G349" s="3233">
        <v>2260</v>
      </c>
      <c r="J349" s="3222"/>
    </row>
    <row r="350" spans="1:10">
      <c r="A350" s="3233" t="s">
        <v>307</v>
      </c>
      <c r="B350" s="3233" t="s">
        <v>3168</v>
      </c>
      <c r="C350" s="3233">
        <v>3760</v>
      </c>
      <c r="D350" s="3233">
        <v>3730</v>
      </c>
      <c r="E350" s="3233">
        <v>4100</v>
      </c>
      <c r="F350" s="3233">
        <v>800</v>
      </c>
      <c r="G350" s="3233">
        <v>2230</v>
      </c>
      <c r="J350" s="3222"/>
    </row>
    <row r="351" spans="1:10">
      <c r="A351" s="3233" t="s">
        <v>307</v>
      </c>
      <c r="B351" s="3233" t="s">
        <v>2952</v>
      </c>
      <c r="C351" s="3233">
        <v>3610</v>
      </c>
      <c r="D351" s="3233">
        <v>3580</v>
      </c>
      <c r="E351" s="3233">
        <v>3930</v>
      </c>
      <c r="F351" s="3233">
        <v>700</v>
      </c>
      <c r="G351" s="3233">
        <v>2140</v>
      </c>
      <c r="J351" s="3222"/>
    </row>
    <row r="352" spans="1:10">
      <c r="A352" s="3233" t="s">
        <v>307</v>
      </c>
      <c r="B352" s="3233" t="s">
        <v>2957</v>
      </c>
      <c r="C352" s="3233">
        <v>3670</v>
      </c>
      <c r="D352" s="3233">
        <v>3630</v>
      </c>
      <c r="E352" s="3233">
        <v>4000</v>
      </c>
      <c r="F352" s="3233">
        <v>750</v>
      </c>
      <c r="G352" s="3233">
        <v>2180</v>
      </c>
    </row>
    <row r="353" spans="1:7" s="3226" customFormat="1">
      <c r="A353" s="3233" t="s">
        <v>307</v>
      </c>
      <c r="B353" s="3233" t="s">
        <v>3169</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2977</v>
      </c>
      <c r="C355" s="3233">
        <v>3650</v>
      </c>
      <c r="D355" s="3233">
        <v>3610</v>
      </c>
      <c r="E355" s="3233">
        <v>4200</v>
      </c>
      <c r="F355" s="3233">
        <v>640</v>
      </c>
      <c r="G355" s="3233">
        <v>2160</v>
      </c>
    </row>
    <row r="356" spans="1:7" s="3226" customFormat="1">
      <c r="A356" s="3233" t="s">
        <v>307</v>
      </c>
      <c r="B356" s="3233" t="s">
        <v>2984</v>
      </c>
      <c r="C356" s="3233">
        <v>3260</v>
      </c>
      <c r="D356" s="3233">
        <v>3230</v>
      </c>
      <c r="E356" s="3233">
        <v>3740</v>
      </c>
      <c r="F356" s="3233">
        <v>600</v>
      </c>
      <c r="G356" s="3233">
        <v>1930</v>
      </c>
    </row>
    <row r="357" spans="1:7" s="3226" customFormat="1" ht="12" thickBot="1">
      <c r="A357" s="3241" t="s">
        <v>307</v>
      </c>
      <c r="B357" s="3244" t="s">
        <v>3170</v>
      </c>
      <c r="C357" s="3244">
        <v>3690</v>
      </c>
      <c r="D357" s="3244">
        <v>3650</v>
      </c>
      <c r="E357" s="3244">
        <v>4020</v>
      </c>
      <c r="F357" s="3244">
        <v>700</v>
      </c>
      <c r="G357" s="3244">
        <v>2190</v>
      </c>
    </row>
    <row r="358" spans="1:7" s="3226" customFormat="1">
      <c r="A358" s="3238" t="s">
        <v>3171</v>
      </c>
      <c r="B358" s="3229" t="s">
        <v>3172</v>
      </c>
      <c r="C358" s="3229">
        <v>2080</v>
      </c>
      <c r="D358" s="3229">
        <v>2040</v>
      </c>
      <c r="E358" s="3229">
        <v>2010</v>
      </c>
      <c r="F358" s="3229">
        <v>530</v>
      </c>
      <c r="G358" s="3245">
        <v>1230</v>
      </c>
    </row>
    <row r="359" spans="1:7" s="3226" customFormat="1">
      <c r="A359" s="3233" t="s">
        <v>3171</v>
      </c>
      <c r="B359" s="3233" t="s">
        <v>3173</v>
      </c>
      <c r="C359" s="3233">
        <v>1850</v>
      </c>
      <c r="D359" s="3233">
        <v>1820</v>
      </c>
      <c r="E359" s="3233">
        <v>1780</v>
      </c>
      <c r="F359" s="3233">
        <v>520</v>
      </c>
      <c r="G359" s="3246">
        <v>1100</v>
      </c>
    </row>
    <row r="360" spans="1:7" s="3226" customFormat="1">
      <c r="A360" s="3233" t="s">
        <v>3171</v>
      </c>
      <c r="B360" s="3233" t="s">
        <v>3174</v>
      </c>
      <c r="C360" s="3233">
        <v>2020</v>
      </c>
      <c r="D360" s="3233">
        <v>1990</v>
      </c>
      <c r="E360" s="3233">
        <v>1950</v>
      </c>
      <c r="F360" s="3233">
        <v>500</v>
      </c>
      <c r="G360" s="3246">
        <v>1200</v>
      </c>
    </row>
    <row r="361" spans="1:7" s="3226" customFormat="1">
      <c r="A361" s="3233" t="s">
        <v>3171</v>
      </c>
      <c r="B361" s="3233" t="s">
        <v>153</v>
      </c>
      <c r="C361" s="3233">
        <v>2260</v>
      </c>
      <c r="D361" s="3233">
        <v>2220</v>
      </c>
      <c r="E361" s="3233">
        <v>2180</v>
      </c>
      <c r="F361" s="3233">
        <v>580</v>
      </c>
      <c r="G361" s="3246">
        <v>1340</v>
      </c>
    </row>
    <row r="362" spans="1:7" s="3226" customFormat="1">
      <c r="A362" s="3233" t="s">
        <v>3171</v>
      </c>
      <c r="B362" s="3233" t="s">
        <v>3175</v>
      </c>
      <c r="C362" s="3233">
        <v>2650</v>
      </c>
      <c r="D362" s="3233">
        <v>2610</v>
      </c>
      <c r="E362" s="3233">
        <v>2570</v>
      </c>
      <c r="F362" s="3233">
        <v>630</v>
      </c>
      <c r="G362" s="3246">
        <v>1570</v>
      </c>
    </row>
    <row r="363" spans="1:7" s="3226" customFormat="1">
      <c r="A363" s="3233" t="s">
        <v>3171</v>
      </c>
      <c r="B363" s="3233" t="s">
        <v>2896</v>
      </c>
      <c r="C363" s="3233">
        <v>2390</v>
      </c>
      <c r="D363" s="3233">
        <v>2360</v>
      </c>
      <c r="E363" s="3233">
        <v>2320</v>
      </c>
      <c r="F363" s="3233">
        <v>600</v>
      </c>
      <c r="G363" s="3246">
        <v>1420</v>
      </c>
    </row>
    <row r="364" spans="1:7" s="3226" customFormat="1">
      <c r="A364" s="3233" t="s">
        <v>3171</v>
      </c>
      <c r="B364" s="3233" t="s">
        <v>3176</v>
      </c>
      <c r="C364" s="3233">
        <v>2050</v>
      </c>
      <c r="D364" s="3233">
        <v>2030</v>
      </c>
      <c r="E364" s="3233">
        <v>1990</v>
      </c>
      <c r="F364" s="3233">
        <v>550</v>
      </c>
      <c r="G364" s="3246">
        <v>1220</v>
      </c>
    </row>
    <row r="365" spans="1:7" s="3226" customFormat="1">
      <c r="A365" s="3233" t="s">
        <v>3171</v>
      </c>
      <c r="B365" s="3233" t="s">
        <v>200</v>
      </c>
      <c r="C365" s="3233">
        <v>2140</v>
      </c>
      <c r="D365" s="3233">
        <v>2100</v>
      </c>
      <c r="E365" s="3233">
        <v>2060</v>
      </c>
      <c r="F365" s="3233">
        <v>540</v>
      </c>
      <c r="G365" s="3246">
        <v>1270</v>
      </c>
    </row>
    <row r="366" spans="1:7" s="3226" customFormat="1">
      <c r="A366" s="3233" t="s">
        <v>3171</v>
      </c>
      <c r="B366" s="3233" t="s">
        <v>2903</v>
      </c>
      <c r="C366" s="3233">
        <v>2410</v>
      </c>
      <c r="D366" s="3233">
        <v>2370</v>
      </c>
      <c r="E366" s="3233">
        <v>2330</v>
      </c>
      <c r="F366" s="3233">
        <v>570</v>
      </c>
      <c r="G366" s="3246">
        <v>1440</v>
      </c>
    </row>
    <row r="367" spans="1:7" s="3226" customFormat="1">
      <c r="A367" s="3233" t="s">
        <v>3171</v>
      </c>
      <c r="B367" s="3233" t="s">
        <v>3177</v>
      </c>
      <c r="C367" s="3233">
        <v>2300</v>
      </c>
      <c r="D367" s="3233">
        <v>2260</v>
      </c>
      <c r="E367" s="3233">
        <v>2220</v>
      </c>
      <c r="F367" s="3233">
        <v>560</v>
      </c>
      <c r="G367" s="3246">
        <v>1370</v>
      </c>
    </row>
    <row r="368" spans="1:7" s="3226" customFormat="1">
      <c r="A368" s="3233" t="s">
        <v>3171</v>
      </c>
      <c r="B368" s="3233" t="s">
        <v>3178</v>
      </c>
      <c r="C368" s="3233">
        <v>2430</v>
      </c>
      <c r="D368" s="3233">
        <v>2390</v>
      </c>
      <c r="E368" s="3233">
        <v>2350</v>
      </c>
      <c r="F368" s="3233">
        <v>570</v>
      </c>
      <c r="G368" s="3246">
        <v>1450</v>
      </c>
    </row>
    <row r="369" spans="1:7" s="3226" customFormat="1">
      <c r="A369" s="3233" t="s">
        <v>3171</v>
      </c>
      <c r="B369" s="3233" t="s">
        <v>214</v>
      </c>
      <c r="C369" s="3233">
        <v>2320</v>
      </c>
      <c r="D369" s="3233">
        <v>2290</v>
      </c>
      <c r="E369" s="3233">
        <v>2250</v>
      </c>
      <c r="F369" s="3233">
        <v>550</v>
      </c>
      <c r="G369" s="3246">
        <v>1380</v>
      </c>
    </row>
    <row r="370" spans="1:7" s="3226" customFormat="1">
      <c r="A370" s="3233" t="s">
        <v>3171</v>
      </c>
      <c r="B370" s="3233" t="s">
        <v>221</v>
      </c>
      <c r="C370" s="3233">
        <v>2190</v>
      </c>
      <c r="D370" s="3233">
        <v>2170</v>
      </c>
      <c r="E370" s="3233">
        <v>2130</v>
      </c>
      <c r="F370" s="3233">
        <v>530</v>
      </c>
      <c r="G370" s="3246">
        <v>1310</v>
      </c>
    </row>
    <row r="371" spans="1:7" s="3226" customFormat="1">
      <c r="A371" s="3233" t="s">
        <v>3171</v>
      </c>
      <c r="B371" s="3233" t="s">
        <v>229</v>
      </c>
      <c r="C371" s="3233">
        <v>2460</v>
      </c>
      <c r="D371" s="3233">
        <v>2420</v>
      </c>
      <c r="E371" s="3233">
        <v>2370</v>
      </c>
      <c r="F371" s="3233">
        <v>560</v>
      </c>
      <c r="G371" s="3246">
        <v>1470</v>
      </c>
    </row>
    <row r="372" spans="1:7" s="3226" customFormat="1">
      <c r="A372" s="3233" t="s">
        <v>3171</v>
      </c>
      <c r="B372" s="3233" t="s">
        <v>3179</v>
      </c>
      <c r="C372" s="3233">
        <v>2250</v>
      </c>
      <c r="D372" s="3233">
        <v>2210</v>
      </c>
      <c r="E372" s="3233">
        <v>2180</v>
      </c>
      <c r="F372" s="3233">
        <v>550</v>
      </c>
      <c r="G372" s="3246">
        <v>1340</v>
      </c>
    </row>
    <row r="373" spans="1:7" s="3226" customFormat="1">
      <c r="A373" s="3233" t="s">
        <v>3171</v>
      </c>
      <c r="B373" s="3233" t="s">
        <v>258</v>
      </c>
      <c r="C373" s="3233">
        <v>2210</v>
      </c>
      <c r="D373" s="3233">
        <v>2190</v>
      </c>
      <c r="E373" s="3233">
        <v>2150</v>
      </c>
      <c r="F373" s="3233">
        <v>530</v>
      </c>
      <c r="G373" s="3246">
        <v>1320</v>
      </c>
    </row>
    <row r="374" spans="1:7" s="3226" customFormat="1">
      <c r="A374" s="3233" t="s">
        <v>3171</v>
      </c>
      <c r="B374" s="3233" t="s">
        <v>266</v>
      </c>
      <c r="C374" s="3233">
        <v>2320</v>
      </c>
      <c r="D374" s="3233">
        <v>2280</v>
      </c>
      <c r="E374" s="3233">
        <v>2230</v>
      </c>
      <c r="F374" s="3233">
        <v>580</v>
      </c>
      <c r="G374" s="3246">
        <v>1380</v>
      </c>
    </row>
    <row r="375" spans="1:7" s="3226" customFormat="1">
      <c r="A375" s="3233" t="s">
        <v>3171</v>
      </c>
      <c r="B375" s="3233" t="s">
        <v>3180</v>
      </c>
      <c r="C375" s="3233">
        <v>2090</v>
      </c>
      <c r="D375" s="3233">
        <v>2050</v>
      </c>
      <c r="E375" s="3233">
        <v>2020</v>
      </c>
      <c r="F375" s="3233">
        <v>520</v>
      </c>
      <c r="G375" s="3246">
        <v>1240</v>
      </c>
    </row>
    <row r="376" spans="1:7" s="3226" customFormat="1">
      <c r="A376" s="3233" t="s">
        <v>3171</v>
      </c>
      <c r="B376" s="3233" t="s">
        <v>277</v>
      </c>
      <c r="C376" s="3233">
        <v>2010</v>
      </c>
      <c r="D376" s="3233">
        <v>1980</v>
      </c>
      <c r="E376" s="3233">
        <v>1940</v>
      </c>
      <c r="F376" s="3233">
        <v>540</v>
      </c>
      <c r="G376" s="3246">
        <v>1190</v>
      </c>
    </row>
    <row r="377" spans="1:7" s="3226" customFormat="1" ht="12" thickBot="1">
      <c r="A377" s="3241" t="s">
        <v>3171</v>
      </c>
      <c r="B377" s="3244" t="s">
        <v>2933</v>
      </c>
      <c r="C377" s="3244">
        <v>1930</v>
      </c>
      <c r="D377" s="3244">
        <v>1890</v>
      </c>
      <c r="E377" s="3244">
        <v>1860</v>
      </c>
      <c r="F377" s="3244">
        <v>530</v>
      </c>
      <c r="G377" s="3249">
        <v>1150</v>
      </c>
    </row>
    <row r="378" spans="1:7" s="3226" customFormat="1">
      <c r="A378" s="3250" t="s">
        <v>3181</v>
      </c>
      <c r="B378" s="3229" t="s">
        <v>3182</v>
      </c>
      <c r="C378" s="3229">
        <v>1520</v>
      </c>
      <c r="D378" s="3229">
        <v>1490</v>
      </c>
      <c r="E378" s="3229">
        <v>1460</v>
      </c>
      <c r="F378" s="3229">
        <v>460</v>
      </c>
      <c r="G378" s="3245">
        <v>940</v>
      </c>
    </row>
    <row r="379" spans="1:7" s="3226" customFormat="1">
      <c r="A379" s="3251" t="s">
        <v>3181</v>
      </c>
      <c r="B379" s="3233" t="s">
        <v>3183</v>
      </c>
      <c r="C379" s="3233">
        <v>1500</v>
      </c>
      <c r="D379" s="3233">
        <v>1470</v>
      </c>
      <c r="E379" s="3233">
        <v>1430</v>
      </c>
      <c r="F379" s="3233">
        <v>460</v>
      </c>
      <c r="G379" s="3246">
        <v>920</v>
      </c>
    </row>
    <row r="380" spans="1:7" s="3226" customFormat="1">
      <c r="A380" s="3251" t="s">
        <v>3181</v>
      </c>
      <c r="B380" s="3233" t="s">
        <v>3184</v>
      </c>
      <c r="C380" s="3233">
        <v>1620</v>
      </c>
      <c r="D380" s="3233">
        <v>1590</v>
      </c>
      <c r="E380" s="3233">
        <v>1560</v>
      </c>
      <c r="F380" s="3233">
        <v>480</v>
      </c>
      <c r="G380" s="3246">
        <v>1000</v>
      </c>
    </row>
    <row r="381" spans="1:7" s="3226" customFormat="1">
      <c r="A381" s="3251" t="s">
        <v>3181</v>
      </c>
      <c r="B381" s="3233" t="s">
        <v>3185</v>
      </c>
      <c r="C381" s="3233">
        <v>1460</v>
      </c>
      <c r="D381" s="3233">
        <v>1430</v>
      </c>
      <c r="E381" s="3233">
        <v>1390</v>
      </c>
      <c r="F381" s="3233">
        <v>450</v>
      </c>
      <c r="G381" s="3246">
        <v>900</v>
      </c>
    </row>
    <row r="382" spans="1:7" s="3226" customFormat="1">
      <c r="A382" s="3251" t="s">
        <v>3181</v>
      </c>
      <c r="B382" s="3233" t="s">
        <v>3186</v>
      </c>
      <c r="C382" s="3233">
        <v>1310</v>
      </c>
      <c r="D382" s="3233">
        <v>1280</v>
      </c>
      <c r="E382" s="3233">
        <v>1250</v>
      </c>
      <c r="F382" s="3233">
        <v>440</v>
      </c>
      <c r="G382" s="3246">
        <v>800</v>
      </c>
    </row>
    <row r="383" spans="1:7" s="3226" customFormat="1">
      <c r="A383" s="3251" t="s">
        <v>3181</v>
      </c>
      <c r="B383" s="3233" t="s">
        <v>3187</v>
      </c>
      <c r="C383" s="3233">
        <v>1260</v>
      </c>
      <c r="D383" s="3233">
        <v>1230</v>
      </c>
      <c r="E383" s="3233">
        <v>1200</v>
      </c>
      <c r="F383" s="3233">
        <v>420</v>
      </c>
      <c r="G383" s="3246">
        <v>770</v>
      </c>
    </row>
    <row r="384" spans="1:7" s="3226" customFormat="1" ht="12" thickBot="1">
      <c r="A384" s="3252" t="s">
        <v>3181</v>
      </c>
      <c r="B384" s="3240" t="s">
        <v>3188</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3189</v>
      </c>
      <c r="B1" s="3773"/>
    </row>
    <row r="2" spans="1:7" ht="14.25" thickBot="1">
      <c r="A2" s="3255"/>
      <c r="B2" s="3255"/>
    </row>
    <row r="3" spans="1:7" ht="14.25" thickBot="1">
      <c r="A3" s="3255"/>
      <c r="B3" s="3255"/>
      <c r="C3" s="3256" t="s">
        <v>2815</v>
      </c>
      <c r="D3" s="3256" t="s">
        <v>2875</v>
      </c>
      <c r="E3" s="3256" t="s">
        <v>2817</v>
      </c>
      <c r="F3" s="3256" t="s">
        <v>2876</v>
      </c>
      <c r="G3" s="3256" t="s">
        <v>2635</v>
      </c>
    </row>
    <row r="4" spans="1:7" ht="14.25" thickBot="1">
      <c r="A4" s="3257" t="s">
        <v>2874</v>
      </c>
      <c r="B4" s="3258" t="s">
        <v>2880</v>
      </c>
      <c r="C4" s="3256"/>
      <c r="D4" s="3256"/>
      <c r="E4" s="3256"/>
      <c r="F4" s="3256"/>
      <c r="G4" s="3256"/>
    </row>
    <row r="5" spans="1:7">
      <c r="A5" s="3259" t="s">
        <v>2848</v>
      </c>
      <c r="B5" s="3260" t="s">
        <v>2862</v>
      </c>
      <c r="C5" s="3261">
        <v>9.8000000000000004E-2</v>
      </c>
      <c r="D5" s="3261">
        <v>8.6999999999999994E-2</v>
      </c>
      <c r="E5" s="3261">
        <v>8.6999999999999994E-2</v>
      </c>
      <c r="F5" s="3261">
        <v>9.8000000000000004E-2</v>
      </c>
      <c r="G5" s="3262">
        <v>9.5000000000000001E-2</v>
      </c>
    </row>
    <row r="6" spans="1:7">
      <c r="A6" s="3263" t="s">
        <v>144</v>
      </c>
      <c r="B6" s="3264" t="s">
        <v>2877</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2863</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2913</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2931</v>
      </c>
      <c r="C29" s="3273"/>
      <c r="D29" s="3269">
        <v>5.1999999999999998E-2</v>
      </c>
      <c r="E29" s="3269">
        <v>7.0000000000000007E-2</v>
      </c>
      <c r="F29" s="3273"/>
      <c r="G29" s="3271">
        <v>7.0999999999999994E-2</v>
      </c>
    </row>
    <row r="30" spans="1:7">
      <c r="A30" s="3274" t="s">
        <v>296</v>
      </c>
      <c r="B30" s="3260" t="s">
        <v>2864</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2850</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2934</v>
      </c>
      <c r="C50" s="3265">
        <v>9.8000000000000004E-2</v>
      </c>
      <c r="D50" s="3265">
        <v>7.2999999999999995E-2</v>
      </c>
      <c r="E50" s="3265">
        <v>7.0999999999999994E-2</v>
      </c>
      <c r="F50" s="3276"/>
      <c r="G50" s="3266">
        <v>7.2999999999999995E-2</v>
      </c>
    </row>
    <row r="51" spans="1:7">
      <c r="A51" s="3275" t="s">
        <v>296</v>
      </c>
      <c r="B51" s="3264" t="s">
        <v>2936</v>
      </c>
      <c r="C51" s="3265">
        <v>9.9000000000000005E-2</v>
      </c>
      <c r="D51" s="3265">
        <v>8.5000000000000006E-2</v>
      </c>
      <c r="E51" s="3265">
        <v>6.3E-2</v>
      </c>
      <c r="F51" s="3276"/>
      <c r="G51" s="3266">
        <v>9.6000000000000002E-2</v>
      </c>
    </row>
    <row r="52" spans="1:7">
      <c r="A52" s="3275" t="s">
        <v>296</v>
      </c>
      <c r="B52" s="3264" t="s">
        <v>2940</v>
      </c>
      <c r="C52" s="3265">
        <v>7.3999999999999996E-2</v>
      </c>
      <c r="D52" s="3265">
        <v>9.6000000000000002E-2</v>
      </c>
      <c r="E52" s="3265">
        <v>0.05</v>
      </c>
      <c r="F52" s="3276"/>
      <c r="G52" s="3266">
        <v>9.8000000000000004E-2</v>
      </c>
    </row>
    <row r="53" spans="1:7">
      <c r="A53" s="3275" t="s">
        <v>296</v>
      </c>
      <c r="B53" s="3264" t="s">
        <v>2945</v>
      </c>
      <c r="C53" s="3265">
        <v>8.5999999999999993E-2</v>
      </c>
      <c r="D53" s="3276"/>
      <c r="E53" s="3265">
        <v>9.1999999999999998E-2</v>
      </c>
      <c r="F53" s="3276"/>
      <c r="G53" s="3277"/>
    </row>
    <row r="54" spans="1:7" ht="14.25" thickBot="1">
      <c r="A54" s="3278" t="s">
        <v>296</v>
      </c>
      <c r="B54" s="3268" t="s">
        <v>2948</v>
      </c>
      <c r="C54" s="3269">
        <v>9.6000000000000002E-2</v>
      </c>
      <c r="D54" s="3270"/>
      <c r="E54" s="3279"/>
      <c r="F54" s="3270"/>
      <c r="G54" s="3280"/>
    </row>
    <row r="55" spans="1:7">
      <c r="A55" s="3274" t="s">
        <v>110</v>
      </c>
      <c r="B55" s="3260" t="s">
        <v>2865</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2946</v>
      </c>
      <c r="C78" s="3265">
        <v>0.1</v>
      </c>
      <c r="D78" s="3265">
        <v>8.5000000000000006E-2</v>
      </c>
      <c r="E78" s="3265">
        <v>9.6000000000000002E-2</v>
      </c>
      <c r="F78" s="3276"/>
      <c r="G78" s="3266">
        <v>9.6000000000000002E-2</v>
      </c>
    </row>
    <row r="79" spans="1:7">
      <c r="A79" s="3275" t="s">
        <v>110</v>
      </c>
      <c r="B79" s="3264" t="s">
        <v>2949</v>
      </c>
      <c r="C79" s="3265">
        <v>0.05</v>
      </c>
      <c r="D79" s="3265">
        <v>9.6000000000000002E-2</v>
      </c>
      <c r="E79" s="3265">
        <v>9.5000000000000001E-2</v>
      </c>
      <c r="F79" s="3276"/>
      <c r="G79" s="3266">
        <v>9.8000000000000004E-2</v>
      </c>
    </row>
    <row r="80" spans="1:7">
      <c r="A80" s="3275" t="s">
        <v>110</v>
      </c>
      <c r="B80" s="3264" t="s">
        <v>2953</v>
      </c>
      <c r="C80" s="3265">
        <v>8.5999999999999993E-2</v>
      </c>
      <c r="D80" s="3281"/>
      <c r="E80" s="3265">
        <v>0.1</v>
      </c>
      <c r="F80" s="3276"/>
      <c r="G80" s="3277"/>
    </row>
    <row r="81" spans="1:7">
      <c r="A81" s="3275" t="s">
        <v>110</v>
      </c>
      <c r="B81" s="3264" t="s">
        <v>2958</v>
      </c>
      <c r="C81" s="3265">
        <v>9.6000000000000002E-2</v>
      </c>
      <c r="D81" s="3276"/>
      <c r="E81" s="3265">
        <v>9.8000000000000004E-2</v>
      </c>
      <c r="F81" s="3276"/>
      <c r="G81" s="3277"/>
    </row>
    <row r="82" spans="1:7">
      <c r="A82" s="3275" t="s">
        <v>110</v>
      </c>
      <c r="B82" s="3264" t="s">
        <v>2965</v>
      </c>
      <c r="C82" s="3281"/>
      <c r="D82" s="3276"/>
      <c r="E82" s="3265">
        <v>7.6999999999999999E-2</v>
      </c>
      <c r="F82" s="3276"/>
      <c r="G82" s="3277"/>
    </row>
    <row r="83" spans="1:7">
      <c r="A83" s="3275" t="s">
        <v>110</v>
      </c>
      <c r="B83" s="3264" t="s">
        <v>2971</v>
      </c>
      <c r="C83" s="3276"/>
      <c r="D83" s="3276"/>
      <c r="E83" s="3276"/>
      <c r="F83" s="3265">
        <v>0.1</v>
      </c>
      <c r="G83" s="3282"/>
    </row>
    <row r="84" spans="1:7">
      <c r="A84" s="3275" t="s">
        <v>110</v>
      </c>
      <c r="B84" s="3264" t="s">
        <v>2978</v>
      </c>
      <c r="C84" s="3276"/>
      <c r="D84" s="3276"/>
      <c r="E84" s="3276"/>
      <c r="F84" s="3265">
        <v>0.1</v>
      </c>
      <c r="G84" s="3282"/>
    </row>
    <row r="85" spans="1:7">
      <c r="A85" s="3275" t="s">
        <v>110</v>
      </c>
      <c r="B85" s="3264" t="s">
        <v>2985</v>
      </c>
      <c r="C85" s="3276"/>
      <c r="D85" s="3276"/>
      <c r="E85" s="3276"/>
      <c r="F85" s="3265">
        <v>0.1</v>
      </c>
      <c r="G85" s="3282"/>
    </row>
    <row r="86" spans="1:7" ht="14.25" thickBot="1">
      <c r="A86" s="3278" t="s">
        <v>110</v>
      </c>
      <c r="B86" s="3268" t="s">
        <v>2990</v>
      </c>
      <c r="C86" s="3269">
        <v>9.8000000000000004E-2</v>
      </c>
      <c r="D86" s="3269">
        <v>9.8000000000000004E-2</v>
      </c>
      <c r="E86" s="3269">
        <v>9.6000000000000002E-2</v>
      </c>
      <c r="F86" s="3279"/>
      <c r="G86" s="3271">
        <v>0.1</v>
      </c>
    </row>
    <row r="87" spans="1:7">
      <c r="A87" s="3274" t="s">
        <v>303</v>
      </c>
      <c r="B87" s="3260" t="s">
        <v>2866</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2959</v>
      </c>
      <c r="C113" s="3265">
        <v>0.1</v>
      </c>
      <c r="D113" s="3265">
        <v>0.1</v>
      </c>
      <c r="E113" s="3276"/>
      <c r="F113" s="3276"/>
      <c r="G113" s="3266">
        <v>0.1</v>
      </c>
    </row>
    <row r="114" spans="1:7">
      <c r="A114" s="3275" t="s">
        <v>303</v>
      </c>
      <c r="B114" s="3264" t="s">
        <v>2966</v>
      </c>
      <c r="C114" s="3265">
        <v>9.7000000000000003E-2</v>
      </c>
      <c r="D114" s="3265">
        <v>9.7000000000000003E-2</v>
      </c>
      <c r="E114" s="3276"/>
      <c r="F114" s="3276"/>
      <c r="G114" s="3266">
        <v>9.9000000000000005E-2</v>
      </c>
    </row>
    <row r="115" spans="1:7">
      <c r="A115" s="3275" t="s">
        <v>303</v>
      </c>
      <c r="B115" s="3264" t="s">
        <v>2972</v>
      </c>
      <c r="C115" s="3265">
        <v>0.1</v>
      </c>
      <c r="D115" s="3265">
        <v>0.1</v>
      </c>
      <c r="E115" s="3276"/>
      <c r="F115" s="3276"/>
      <c r="G115" s="3266">
        <v>0.1</v>
      </c>
    </row>
    <row r="116" spans="1:7">
      <c r="A116" s="3275" t="s">
        <v>303</v>
      </c>
      <c r="B116" s="3264" t="s">
        <v>2979</v>
      </c>
      <c r="C116" s="3265">
        <v>0.1</v>
      </c>
      <c r="D116" s="3265">
        <v>0.1</v>
      </c>
      <c r="E116" s="3276"/>
      <c r="F116" s="3276"/>
      <c r="G116" s="3266">
        <v>0.1</v>
      </c>
    </row>
    <row r="117" spans="1:7">
      <c r="A117" s="3275" t="s">
        <v>303</v>
      </c>
      <c r="B117" s="3264" t="s">
        <v>2986</v>
      </c>
      <c r="C117" s="3265">
        <v>9.7000000000000003E-2</v>
      </c>
      <c r="D117" s="3265">
        <v>9.7000000000000003E-2</v>
      </c>
      <c r="E117" s="3276"/>
      <c r="F117" s="3276"/>
      <c r="G117" s="3266">
        <v>9.7000000000000003E-2</v>
      </c>
    </row>
    <row r="118" spans="1:7">
      <c r="A118" s="3275" t="s">
        <v>303</v>
      </c>
      <c r="B118" s="3264" t="s">
        <v>2991</v>
      </c>
      <c r="C118" s="3265">
        <v>0.1</v>
      </c>
      <c r="D118" s="3265">
        <v>0.1</v>
      </c>
      <c r="E118" s="3276"/>
      <c r="F118" s="3276"/>
      <c r="G118" s="3266">
        <v>0.1</v>
      </c>
    </row>
    <row r="119" spans="1:7">
      <c r="A119" s="3275" t="s">
        <v>303</v>
      </c>
      <c r="B119" s="3264" t="s">
        <v>2995</v>
      </c>
      <c r="C119" s="3265">
        <v>5.0999999999999997E-2</v>
      </c>
      <c r="D119" s="3265">
        <v>5.1999999999999998E-2</v>
      </c>
      <c r="E119" s="3276"/>
      <c r="F119" s="3281"/>
      <c r="G119" s="3266">
        <v>0.06</v>
      </c>
    </row>
    <row r="120" spans="1:7">
      <c r="A120" s="3275" t="s">
        <v>303</v>
      </c>
      <c r="B120" s="3264" t="s">
        <v>2999</v>
      </c>
      <c r="C120" s="3276"/>
      <c r="D120" s="3276"/>
      <c r="E120" s="3276"/>
      <c r="F120" s="3265">
        <v>0.1</v>
      </c>
      <c r="G120" s="3282"/>
    </row>
    <row r="121" spans="1:7">
      <c r="A121" s="3275" t="s">
        <v>303</v>
      </c>
      <c r="B121" s="3264" t="s">
        <v>3004</v>
      </c>
      <c r="C121" s="3276"/>
      <c r="D121" s="3276"/>
      <c r="E121" s="3276"/>
      <c r="F121" s="3265">
        <v>0.1</v>
      </c>
      <c r="G121" s="3282"/>
    </row>
    <row r="122" spans="1:7">
      <c r="A122" s="3275" t="s">
        <v>303</v>
      </c>
      <c r="B122" s="3264" t="s">
        <v>3009</v>
      </c>
      <c r="C122" s="3265">
        <v>0.1</v>
      </c>
      <c r="D122" s="3265">
        <v>0.1</v>
      </c>
      <c r="E122" s="3265">
        <v>9.8000000000000004E-2</v>
      </c>
      <c r="F122" s="3265">
        <v>0.1</v>
      </c>
      <c r="G122" s="3266">
        <v>0.1</v>
      </c>
    </row>
    <row r="123" spans="1:7">
      <c r="A123" s="3275" t="s">
        <v>303</v>
      </c>
      <c r="B123" s="3264" t="s">
        <v>3014</v>
      </c>
      <c r="C123" s="3265">
        <v>0.1</v>
      </c>
      <c r="D123" s="3265">
        <v>0.1</v>
      </c>
      <c r="E123" s="3265">
        <v>9.8000000000000004E-2</v>
      </c>
      <c r="F123" s="3265">
        <v>0.1</v>
      </c>
      <c r="G123" s="3266">
        <v>0.1</v>
      </c>
    </row>
    <row r="124" spans="1:7">
      <c r="A124" s="3275" t="s">
        <v>303</v>
      </c>
      <c r="B124" s="3264" t="s">
        <v>3019</v>
      </c>
      <c r="C124" s="3265">
        <v>0.1</v>
      </c>
      <c r="D124" s="3265">
        <v>0.1</v>
      </c>
      <c r="E124" s="3265">
        <v>9.8000000000000004E-2</v>
      </c>
      <c r="F124" s="3281"/>
      <c r="G124" s="3266">
        <v>0.1</v>
      </c>
    </row>
    <row r="125" spans="1:7">
      <c r="A125" s="3275" t="s">
        <v>303</v>
      </c>
      <c r="B125" s="3264" t="s">
        <v>3024</v>
      </c>
      <c r="C125" s="3265">
        <v>9.8000000000000004E-2</v>
      </c>
      <c r="D125" s="3265">
        <v>9.8000000000000004E-2</v>
      </c>
      <c r="E125" s="3265">
        <v>9.6000000000000002E-2</v>
      </c>
      <c r="F125" s="3281"/>
      <c r="G125" s="3266">
        <v>0.1</v>
      </c>
    </row>
    <row r="126" spans="1:7" ht="14.25" thickBot="1">
      <c r="A126" s="3278" t="s">
        <v>303</v>
      </c>
      <c r="B126" s="3268" t="s">
        <v>3190</v>
      </c>
      <c r="C126" s="3269">
        <v>0.1</v>
      </c>
      <c r="D126" s="3269">
        <v>0.1</v>
      </c>
      <c r="E126" s="3269">
        <v>9.8000000000000004E-2</v>
      </c>
      <c r="F126" s="3269">
        <v>0.1</v>
      </c>
      <c r="G126" s="3271">
        <v>0.1</v>
      </c>
    </row>
    <row r="127" spans="1:7">
      <c r="A127" s="3274" t="s">
        <v>29</v>
      </c>
      <c r="B127" s="3260" t="s">
        <v>2867</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2937</v>
      </c>
      <c r="C148" s="3265">
        <v>0.13</v>
      </c>
      <c r="D148" s="3265">
        <v>0.13</v>
      </c>
      <c r="E148" s="3265">
        <v>0.13</v>
      </c>
      <c r="F148" s="3276"/>
      <c r="G148" s="3266">
        <v>0.13</v>
      </c>
    </row>
    <row r="149" spans="1:7">
      <c r="A149" s="3275" t="s">
        <v>29</v>
      </c>
      <c r="B149" s="3264" t="s">
        <v>2941</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2960</v>
      </c>
      <c r="C153" s="3265">
        <v>0.13</v>
      </c>
      <c r="D153" s="3265">
        <v>0.13</v>
      </c>
      <c r="E153" s="3265">
        <v>0.13</v>
      </c>
      <c r="F153" s="3265">
        <v>0.13</v>
      </c>
      <c r="G153" s="3266">
        <v>0.13</v>
      </c>
    </row>
    <row r="154" spans="1:7">
      <c r="A154" s="3275" t="s">
        <v>29</v>
      </c>
      <c r="B154" s="3264" t="s">
        <v>2967</v>
      </c>
      <c r="C154" s="3265">
        <v>0.121</v>
      </c>
      <c r="D154" s="3265">
        <v>0.121</v>
      </c>
      <c r="E154" s="3265">
        <v>0.105</v>
      </c>
      <c r="F154" s="3265">
        <v>0.121</v>
      </c>
      <c r="G154" s="3266">
        <v>0.123</v>
      </c>
    </row>
    <row r="155" spans="1:7">
      <c r="A155" s="3275" t="s">
        <v>29</v>
      </c>
      <c r="B155" s="3264" t="s">
        <v>2973</v>
      </c>
      <c r="C155" s="3265">
        <v>0.1</v>
      </c>
      <c r="D155" s="3265">
        <v>0.1</v>
      </c>
      <c r="E155" s="3265">
        <v>0.1</v>
      </c>
      <c r="F155" s="3265">
        <v>0.1</v>
      </c>
      <c r="G155" s="3266">
        <v>0.1</v>
      </c>
    </row>
    <row r="156" spans="1:7">
      <c r="A156" s="3275" t="s">
        <v>29</v>
      </c>
      <c r="B156" s="3264" t="s">
        <v>2980</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3000</v>
      </c>
      <c r="C160" s="3265">
        <v>0.13</v>
      </c>
      <c r="D160" s="3265">
        <v>0.13</v>
      </c>
      <c r="E160" s="3265">
        <v>0.124</v>
      </c>
      <c r="F160" s="3265">
        <v>0.126</v>
      </c>
      <c r="G160" s="3266">
        <v>0.13</v>
      </c>
    </row>
    <row r="161" spans="1:7">
      <c r="A161" s="3275" t="s">
        <v>29</v>
      </c>
      <c r="B161" s="3264" t="s">
        <v>3005</v>
      </c>
      <c r="C161" s="3265">
        <v>0.13</v>
      </c>
      <c r="D161" s="3265">
        <v>0.13</v>
      </c>
      <c r="E161" s="3265">
        <v>0.124</v>
      </c>
      <c r="F161" s="3265">
        <v>0.127</v>
      </c>
      <c r="G161" s="3266">
        <v>0.13</v>
      </c>
    </row>
    <row r="162" spans="1:7">
      <c r="A162" s="3275" t="s">
        <v>29</v>
      </c>
      <c r="B162" s="3264" t="s">
        <v>3010</v>
      </c>
      <c r="C162" s="3265">
        <v>0.1</v>
      </c>
      <c r="D162" s="3265">
        <v>0.1</v>
      </c>
      <c r="E162" s="3265">
        <v>0.1</v>
      </c>
      <c r="F162" s="3265">
        <v>0.121</v>
      </c>
      <c r="G162" s="3266">
        <v>0.105</v>
      </c>
    </row>
    <row r="163" spans="1:7">
      <c r="A163" s="3275" t="s">
        <v>29</v>
      </c>
      <c r="B163" s="3264" t="s">
        <v>3015</v>
      </c>
      <c r="C163" s="3265">
        <v>0.1</v>
      </c>
      <c r="D163" s="3265">
        <v>0.1</v>
      </c>
      <c r="E163" s="3265">
        <v>0.1</v>
      </c>
      <c r="F163" s="3265">
        <v>0.1</v>
      </c>
      <c r="G163" s="3266">
        <v>0.1</v>
      </c>
    </row>
    <row r="164" spans="1:7">
      <c r="A164" s="3275" t="s">
        <v>29</v>
      </c>
      <c r="B164" s="3264" t="s">
        <v>3020</v>
      </c>
      <c r="C164" s="3281"/>
      <c r="D164" s="3281"/>
      <c r="E164" s="3281"/>
      <c r="F164" s="3265">
        <v>0.1</v>
      </c>
      <c r="G164" s="3277"/>
    </row>
    <row r="165" spans="1:7">
      <c r="A165" s="3275" t="s">
        <v>29</v>
      </c>
      <c r="B165" s="3264" t="s">
        <v>3191</v>
      </c>
      <c r="C165" s="3265">
        <v>0.126</v>
      </c>
      <c r="D165" s="3265">
        <v>0.126</v>
      </c>
      <c r="E165" s="3265">
        <v>0.11899999999999999</v>
      </c>
      <c r="F165" s="3265">
        <v>0.13</v>
      </c>
      <c r="G165" s="3266">
        <v>0.128</v>
      </c>
    </row>
    <row r="166" spans="1:7">
      <c r="A166" s="3275" t="s">
        <v>29</v>
      </c>
      <c r="B166" s="3264" t="s">
        <v>3030</v>
      </c>
      <c r="C166" s="3265">
        <v>0.129</v>
      </c>
      <c r="D166" s="3265">
        <v>0.129</v>
      </c>
      <c r="E166" s="3265">
        <v>0.123</v>
      </c>
      <c r="F166" s="3265">
        <v>0.128</v>
      </c>
      <c r="G166" s="3266">
        <v>0.13</v>
      </c>
    </row>
    <row r="167" spans="1:7">
      <c r="A167" s="3275" t="s">
        <v>29</v>
      </c>
      <c r="B167" s="3264" t="s">
        <v>3034</v>
      </c>
      <c r="C167" s="3265">
        <v>0.125</v>
      </c>
      <c r="D167" s="3265">
        <v>0.125</v>
      </c>
      <c r="E167" s="3265">
        <v>0.11700000000000001</v>
      </c>
      <c r="F167" s="3265">
        <v>0.13</v>
      </c>
      <c r="G167" s="3266">
        <v>0.126</v>
      </c>
    </row>
    <row r="168" spans="1:7">
      <c r="A168" s="3275" t="s">
        <v>29</v>
      </c>
      <c r="B168" s="3264" t="s">
        <v>3039</v>
      </c>
      <c r="C168" s="3265">
        <v>0.128</v>
      </c>
      <c r="D168" s="3265">
        <v>0.128</v>
      </c>
      <c r="E168" s="3265">
        <v>0.123</v>
      </c>
      <c r="F168" s="3276"/>
      <c r="G168" s="3266">
        <v>0.13</v>
      </c>
    </row>
    <row r="169" spans="1:7">
      <c r="A169" s="3275" t="s">
        <v>29</v>
      </c>
      <c r="B169" s="3264" t="s">
        <v>3192</v>
      </c>
      <c r="C169" s="3281"/>
      <c r="D169" s="3281"/>
      <c r="E169" s="3281"/>
      <c r="F169" s="3265">
        <v>0.05</v>
      </c>
      <c r="G169" s="3277"/>
    </row>
    <row r="170" spans="1:7">
      <c r="A170" s="3275" t="s">
        <v>29</v>
      </c>
      <c r="B170" s="3264" t="s">
        <v>3193</v>
      </c>
      <c r="C170" s="3281"/>
      <c r="D170" s="3281"/>
      <c r="E170" s="3281"/>
      <c r="F170" s="3265">
        <v>0.05</v>
      </c>
      <c r="G170" s="3277"/>
    </row>
    <row r="171" spans="1:7">
      <c r="A171" s="3275" t="s">
        <v>29</v>
      </c>
      <c r="B171" s="3264" t="s">
        <v>3194</v>
      </c>
      <c r="C171" s="3281"/>
      <c r="D171" s="3281"/>
      <c r="E171" s="3281"/>
      <c r="F171" s="3265">
        <v>0.05</v>
      </c>
      <c r="G171" s="3282"/>
    </row>
    <row r="172" spans="1:7">
      <c r="A172" s="3275" t="s">
        <v>29</v>
      </c>
      <c r="B172" s="3264" t="s">
        <v>3195</v>
      </c>
      <c r="C172" s="3281"/>
      <c r="D172" s="3281"/>
      <c r="E172" s="3281"/>
      <c r="F172" s="3265">
        <v>0.05</v>
      </c>
      <c r="G172" s="3282"/>
    </row>
    <row r="173" spans="1:7">
      <c r="A173" s="3275" t="s">
        <v>29</v>
      </c>
      <c r="B173" s="3264" t="s">
        <v>3196</v>
      </c>
      <c r="C173" s="3281"/>
      <c r="D173" s="3281"/>
      <c r="E173" s="3281"/>
      <c r="F173" s="3265">
        <v>0.05</v>
      </c>
      <c r="G173" s="3277"/>
    </row>
    <row r="174" spans="1:7">
      <c r="A174" s="3275" t="s">
        <v>29</v>
      </c>
      <c r="B174" s="3264" t="s">
        <v>3197</v>
      </c>
      <c r="C174" s="3281"/>
      <c r="D174" s="3281"/>
      <c r="E174" s="3281"/>
      <c r="F174" s="3265">
        <v>0.05</v>
      </c>
      <c r="G174" s="3277"/>
    </row>
    <row r="175" spans="1:7">
      <c r="A175" s="3275" t="s">
        <v>29</v>
      </c>
      <c r="B175" s="3264" t="s">
        <v>3198</v>
      </c>
      <c r="C175" s="3281"/>
      <c r="D175" s="3281"/>
      <c r="E175" s="3281"/>
      <c r="F175" s="3265">
        <v>0.05</v>
      </c>
      <c r="G175" s="3277"/>
    </row>
    <row r="176" spans="1:7">
      <c r="A176" s="3275" t="s">
        <v>29</v>
      </c>
      <c r="B176" s="3264" t="s">
        <v>3199</v>
      </c>
      <c r="C176" s="3281"/>
      <c r="D176" s="3281"/>
      <c r="E176" s="3281"/>
      <c r="F176" s="3265">
        <v>0.05</v>
      </c>
      <c r="G176" s="3277"/>
    </row>
    <row r="177" spans="1:7">
      <c r="A177" s="3275" t="s">
        <v>29</v>
      </c>
      <c r="B177" s="3264" t="s">
        <v>3200</v>
      </c>
      <c r="C177" s="3276"/>
      <c r="D177" s="3276"/>
      <c r="E177" s="3276"/>
      <c r="F177" s="3265">
        <v>0.05</v>
      </c>
      <c r="G177" s="3282"/>
    </row>
    <row r="178" spans="1:7">
      <c r="A178" s="3275" t="s">
        <v>29</v>
      </c>
      <c r="B178" s="3264" t="s">
        <v>3201</v>
      </c>
      <c r="C178" s="3276"/>
      <c r="D178" s="3276"/>
      <c r="E178" s="3276"/>
      <c r="F178" s="3265">
        <v>0.05</v>
      </c>
      <c r="G178" s="3282"/>
    </row>
    <row r="179" spans="1:7">
      <c r="A179" s="3275" t="s">
        <v>29</v>
      </c>
      <c r="B179" s="3264" t="s">
        <v>3202</v>
      </c>
      <c r="C179" s="3276"/>
      <c r="D179" s="3276"/>
      <c r="E179" s="3276"/>
      <c r="F179" s="3265">
        <v>0.05</v>
      </c>
      <c r="G179" s="3282"/>
    </row>
    <row r="180" spans="1:7">
      <c r="A180" s="3275" t="s">
        <v>29</v>
      </c>
      <c r="B180" s="3264" t="s">
        <v>3203</v>
      </c>
      <c r="C180" s="3276"/>
      <c r="D180" s="3276"/>
      <c r="E180" s="3276"/>
      <c r="F180" s="3265">
        <v>0.05</v>
      </c>
      <c r="G180" s="3282"/>
    </row>
    <row r="181" spans="1:7">
      <c r="A181" s="3275" t="s">
        <v>29</v>
      </c>
      <c r="B181" s="3264" t="s">
        <v>3204</v>
      </c>
      <c r="C181" s="3276"/>
      <c r="D181" s="3276"/>
      <c r="E181" s="3276"/>
      <c r="F181" s="3265">
        <v>0.05</v>
      </c>
      <c r="G181" s="3282"/>
    </row>
    <row r="182" spans="1:7">
      <c r="A182" s="3275" t="s">
        <v>29</v>
      </c>
      <c r="B182" s="3264" t="s">
        <v>3205</v>
      </c>
      <c r="C182" s="3276"/>
      <c r="D182" s="3276"/>
      <c r="E182" s="3276"/>
      <c r="F182" s="3265">
        <v>0.05</v>
      </c>
      <c r="G182" s="3282"/>
    </row>
    <row r="183" spans="1:7">
      <c r="A183" s="3275" t="s">
        <v>29</v>
      </c>
      <c r="B183" s="3264" t="s">
        <v>3206</v>
      </c>
      <c r="C183" s="3276"/>
      <c r="D183" s="3276"/>
      <c r="E183" s="3276"/>
      <c r="F183" s="3265">
        <v>0.05</v>
      </c>
      <c r="G183" s="3282"/>
    </row>
    <row r="184" spans="1:7">
      <c r="A184" s="3275" t="s">
        <v>29</v>
      </c>
      <c r="B184" s="3264" t="s">
        <v>3207</v>
      </c>
      <c r="C184" s="3276"/>
      <c r="D184" s="3276"/>
      <c r="E184" s="3276"/>
      <c r="F184" s="3265">
        <v>0.05</v>
      </c>
      <c r="G184" s="3282"/>
    </row>
    <row r="185" spans="1:7">
      <c r="A185" s="3275" t="s">
        <v>29</v>
      </c>
      <c r="B185" s="3264" t="s">
        <v>3208</v>
      </c>
      <c r="C185" s="3276"/>
      <c r="D185" s="3276"/>
      <c r="E185" s="3276"/>
      <c r="F185" s="3265">
        <v>0.05</v>
      </c>
      <c r="G185" s="3282"/>
    </row>
    <row r="186" spans="1:7">
      <c r="A186" s="3275" t="s">
        <v>29</v>
      </c>
      <c r="B186" s="3264" t="s">
        <v>3209</v>
      </c>
      <c r="C186" s="3276"/>
      <c r="D186" s="3276"/>
      <c r="E186" s="3276"/>
      <c r="F186" s="3265">
        <v>0.05</v>
      </c>
      <c r="G186" s="3282"/>
    </row>
    <row r="187" spans="1:7">
      <c r="A187" s="3275" t="s">
        <v>29</v>
      </c>
      <c r="B187" s="3264" t="s">
        <v>3210</v>
      </c>
      <c r="C187" s="3276"/>
      <c r="D187" s="3276"/>
      <c r="E187" s="3276"/>
      <c r="F187" s="3265">
        <v>0.05</v>
      </c>
      <c r="G187" s="3282"/>
    </row>
    <row r="188" spans="1:7">
      <c r="A188" s="3275" t="s">
        <v>29</v>
      </c>
      <c r="B188" s="3264" t="s">
        <v>3211</v>
      </c>
      <c r="C188" s="3276"/>
      <c r="D188" s="3276"/>
      <c r="E188" s="3276"/>
      <c r="F188" s="3265">
        <v>0.05</v>
      </c>
      <c r="G188" s="3282"/>
    </row>
    <row r="189" spans="1:7" ht="14.25" thickBot="1">
      <c r="A189" s="3278" t="s">
        <v>29</v>
      </c>
      <c r="B189" s="3268" t="s">
        <v>3212</v>
      </c>
      <c r="C189" s="3270"/>
      <c r="D189" s="3270"/>
      <c r="E189" s="3270"/>
      <c r="F189" s="3269">
        <v>0.05</v>
      </c>
      <c r="G189" s="3283"/>
    </row>
    <row r="190" spans="1:7">
      <c r="A190" s="3274" t="s">
        <v>304</v>
      </c>
      <c r="B190" s="3260" t="s">
        <v>2868</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2904</v>
      </c>
      <c r="C199" s="3265">
        <v>0.13</v>
      </c>
      <c r="D199" s="3265">
        <v>0.13</v>
      </c>
      <c r="E199" s="3265">
        <v>0.13</v>
      </c>
      <c r="F199" s="3265">
        <v>0.13</v>
      </c>
      <c r="G199" s="3266">
        <v>0.13</v>
      </c>
    </row>
    <row r="200" spans="1:7">
      <c r="A200" s="3275" t="s">
        <v>304</v>
      </c>
      <c r="B200" s="3264" t="s">
        <v>2907</v>
      </c>
      <c r="C200" s="3281"/>
      <c r="D200" s="3281"/>
      <c r="E200" s="3281"/>
      <c r="F200" s="3265">
        <v>0.13</v>
      </c>
      <c r="G200" s="3277"/>
    </row>
    <row r="201" spans="1:7">
      <c r="A201" s="3275" t="s">
        <v>304</v>
      </c>
      <c r="B201" s="3264" t="s">
        <v>2912</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2915</v>
      </c>
      <c r="C203" s="3265">
        <v>0.129</v>
      </c>
      <c r="D203" s="3265">
        <v>0.129</v>
      </c>
      <c r="E203" s="3265">
        <v>0.13</v>
      </c>
      <c r="F203" s="3265">
        <v>0.13</v>
      </c>
      <c r="G203" s="3266">
        <v>0.13</v>
      </c>
    </row>
    <row r="204" spans="1:7">
      <c r="A204" s="3275" t="s">
        <v>304</v>
      </c>
      <c r="B204" s="3264" t="s">
        <v>2918</v>
      </c>
      <c r="C204" s="3265">
        <v>0.129</v>
      </c>
      <c r="D204" s="3265">
        <v>0.129</v>
      </c>
      <c r="E204" s="3265">
        <v>0.123</v>
      </c>
      <c r="F204" s="3265">
        <v>0.13</v>
      </c>
      <c r="G204" s="3266">
        <v>0.13</v>
      </c>
    </row>
    <row r="205" spans="1:7">
      <c r="A205" s="3275" t="s">
        <v>304</v>
      </c>
      <c r="B205" s="3264" t="s">
        <v>2920</v>
      </c>
      <c r="C205" s="3265">
        <v>0.13</v>
      </c>
      <c r="D205" s="3265">
        <v>0.13</v>
      </c>
      <c r="E205" s="3265">
        <v>0.13</v>
      </c>
      <c r="F205" s="3265">
        <v>0.13</v>
      </c>
      <c r="G205" s="3266">
        <v>0.13</v>
      </c>
    </row>
    <row r="206" spans="1:7">
      <c r="A206" s="3275" t="s">
        <v>304</v>
      </c>
      <c r="B206" s="3264" t="s">
        <v>2923</v>
      </c>
      <c r="C206" s="3265">
        <v>0.13</v>
      </c>
      <c r="D206" s="3265">
        <v>0.13</v>
      </c>
      <c r="E206" s="3265">
        <v>0.13</v>
      </c>
      <c r="F206" s="3265">
        <v>0.128</v>
      </c>
      <c r="G206" s="3266">
        <v>0.13</v>
      </c>
    </row>
    <row r="207" spans="1:7">
      <c r="A207" s="3275" t="s">
        <v>304</v>
      </c>
      <c r="B207" s="3264" t="s">
        <v>2925</v>
      </c>
      <c r="C207" s="3265">
        <v>0.13</v>
      </c>
      <c r="D207" s="3265">
        <v>0.13</v>
      </c>
      <c r="E207" s="3265">
        <v>0.13</v>
      </c>
      <c r="F207" s="3265">
        <v>0.13</v>
      </c>
      <c r="G207" s="3266">
        <v>0.13</v>
      </c>
    </row>
    <row r="208" spans="1:7">
      <c r="A208" s="3275" t="s">
        <v>304</v>
      </c>
      <c r="B208" s="3264" t="s">
        <v>2928</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2935</v>
      </c>
      <c r="C210" s="3265">
        <v>0.121</v>
      </c>
      <c r="D210" s="3265">
        <v>0.121</v>
      </c>
      <c r="E210" s="3265">
        <v>0.125</v>
      </c>
      <c r="F210" s="3265">
        <v>0.13</v>
      </c>
      <c r="G210" s="3266">
        <v>0.123</v>
      </c>
    </row>
    <row r="211" spans="1:7">
      <c r="A211" s="3275" t="s">
        <v>304</v>
      </c>
      <c r="B211" s="3264" t="s">
        <v>2938</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2950</v>
      </c>
      <c r="C214" s="3265">
        <v>0.128</v>
      </c>
      <c r="D214" s="3265">
        <v>0.128</v>
      </c>
      <c r="E214" s="3265">
        <v>0.13</v>
      </c>
      <c r="F214" s="3265">
        <v>0.13</v>
      </c>
      <c r="G214" s="3266">
        <v>0.13</v>
      </c>
    </row>
    <row r="215" spans="1:7">
      <c r="A215" s="3275" t="s">
        <v>304</v>
      </c>
      <c r="B215" s="3264" t="s">
        <v>2954</v>
      </c>
      <c r="C215" s="3265">
        <v>0.13</v>
      </c>
      <c r="D215" s="3265">
        <v>0.13</v>
      </c>
      <c r="E215" s="3265">
        <v>0.13</v>
      </c>
      <c r="F215" s="3265">
        <v>0.129</v>
      </c>
      <c r="G215" s="3266">
        <v>0.13</v>
      </c>
    </row>
    <row r="216" spans="1:7">
      <c r="A216" s="3275" t="s">
        <v>304</v>
      </c>
      <c r="B216" s="3264" t="s">
        <v>2961</v>
      </c>
      <c r="C216" s="3265">
        <v>0.13</v>
      </c>
      <c r="D216" s="3265">
        <v>0.13</v>
      </c>
      <c r="E216" s="3265">
        <v>0.13</v>
      </c>
      <c r="F216" s="3265">
        <v>0.13</v>
      </c>
      <c r="G216" s="3266">
        <v>0.13</v>
      </c>
    </row>
    <row r="217" spans="1:7">
      <c r="A217" s="3275" t="s">
        <v>304</v>
      </c>
      <c r="B217" s="3264" t="s">
        <v>2968</v>
      </c>
      <c r="C217" s="3265">
        <v>0.129</v>
      </c>
      <c r="D217" s="3265">
        <v>0.129</v>
      </c>
      <c r="E217" s="3265">
        <v>0.13</v>
      </c>
      <c r="F217" s="3265">
        <v>0.13</v>
      </c>
      <c r="G217" s="3266">
        <v>0.13</v>
      </c>
    </row>
    <row r="218" spans="1:7">
      <c r="A218" s="3275" t="s">
        <v>304</v>
      </c>
      <c r="B218" s="3264" t="s">
        <v>2974</v>
      </c>
      <c r="C218" s="3276"/>
      <c r="D218" s="3276"/>
      <c r="E218" s="3276"/>
      <c r="F218" s="3265">
        <v>0.05</v>
      </c>
      <c r="G218" s="3282"/>
    </row>
    <row r="219" spans="1:7">
      <c r="A219" s="3275" t="s">
        <v>304</v>
      </c>
      <c r="B219" s="3264" t="s">
        <v>2981</v>
      </c>
      <c r="C219" s="3276"/>
      <c r="D219" s="3276"/>
      <c r="E219" s="3276"/>
      <c r="F219" s="3265">
        <v>0.05</v>
      </c>
      <c r="G219" s="3282"/>
    </row>
    <row r="220" spans="1:7">
      <c r="A220" s="3275" t="s">
        <v>304</v>
      </c>
      <c r="B220" s="3264" t="s">
        <v>2987</v>
      </c>
      <c r="C220" s="3276"/>
      <c r="D220" s="3276"/>
      <c r="E220" s="3276"/>
      <c r="F220" s="3265">
        <v>0.05</v>
      </c>
      <c r="G220" s="3282"/>
    </row>
    <row r="221" spans="1:7">
      <c r="A221" s="3275" t="s">
        <v>304</v>
      </c>
      <c r="B221" s="3264" t="s">
        <v>2992</v>
      </c>
      <c r="C221" s="3276"/>
      <c r="D221" s="3276"/>
      <c r="E221" s="3276"/>
      <c r="F221" s="3265">
        <v>0.05</v>
      </c>
      <c r="G221" s="3282"/>
    </row>
    <row r="222" spans="1:7">
      <c r="A222" s="3275" t="s">
        <v>304</v>
      </c>
      <c r="B222" s="3264" t="s">
        <v>2996</v>
      </c>
      <c r="C222" s="3276"/>
      <c r="D222" s="3276"/>
      <c r="E222" s="3276"/>
      <c r="F222" s="3265">
        <v>0.05</v>
      </c>
      <c r="G222" s="3282"/>
    </row>
    <row r="223" spans="1:7">
      <c r="A223" s="3275" t="s">
        <v>304</v>
      </c>
      <c r="B223" s="3264" t="s">
        <v>3001</v>
      </c>
      <c r="C223" s="3276"/>
      <c r="D223" s="3276"/>
      <c r="E223" s="3276"/>
      <c r="F223" s="3265">
        <v>0.05</v>
      </c>
      <c r="G223" s="3282"/>
    </row>
    <row r="224" spans="1:7">
      <c r="A224" s="3275" t="s">
        <v>304</v>
      </c>
      <c r="B224" s="3264" t="s">
        <v>3006</v>
      </c>
      <c r="C224" s="3276"/>
      <c r="D224" s="3276"/>
      <c r="E224" s="3276"/>
      <c r="F224" s="3265">
        <v>0.05</v>
      </c>
      <c r="G224" s="3282"/>
    </row>
    <row r="225" spans="1:7">
      <c r="A225" s="3275" t="s">
        <v>304</v>
      </c>
      <c r="B225" s="3264" t="s">
        <v>3011</v>
      </c>
      <c r="C225" s="3276"/>
      <c r="D225" s="3276"/>
      <c r="E225" s="3276"/>
      <c r="F225" s="3265">
        <v>0.05</v>
      </c>
      <c r="G225" s="3282"/>
    </row>
    <row r="226" spans="1:7">
      <c r="A226" s="3275" t="s">
        <v>304</v>
      </c>
      <c r="B226" s="3264" t="s">
        <v>3213</v>
      </c>
      <c r="C226" s="3276"/>
      <c r="D226" s="3276"/>
      <c r="E226" s="3276"/>
      <c r="F226" s="3265">
        <v>0.05</v>
      </c>
      <c r="G226" s="3282"/>
    </row>
    <row r="227" spans="1:7">
      <c r="A227" s="3275" t="s">
        <v>304</v>
      </c>
      <c r="B227" s="3264" t="s">
        <v>3214</v>
      </c>
      <c r="C227" s="3276"/>
      <c r="D227" s="3276"/>
      <c r="E227" s="3276"/>
      <c r="F227" s="3265">
        <v>0.05</v>
      </c>
      <c r="G227" s="3282"/>
    </row>
    <row r="228" spans="1:7">
      <c r="A228" s="3275" t="s">
        <v>304</v>
      </c>
      <c r="B228" s="3264" t="s">
        <v>3215</v>
      </c>
      <c r="C228" s="3276"/>
      <c r="D228" s="3276"/>
      <c r="E228" s="3276"/>
      <c r="F228" s="3265">
        <v>0.05</v>
      </c>
      <c r="G228" s="3282"/>
    </row>
    <row r="229" spans="1:7">
      <c r="A229" s="3275" t="s">
        <v>304</v>
      </c>
      <c r="B229" s="3264" t="s">
        <v>3216</v>
      </c>
      <c r="C229" s="3276"/>
      <c r="D229" s="3276"/>
      <c r="E229" s="3276"/>
      <c r="F229" s="3265">
        <v>0.05</v>
      </c>
      <c r="G229" s="3282"/>
    </row>
    <row r="230" spans="1:7">
      <c r="A230" s="3275" t="s">
        <v>304</v>
      </c>
      <c r="B230" s="3264" t="s">
        <v>3217</v>
      </c>
      <c r="C230" s="3276"/>
      <c r="D230" s="3276"/>
      <c r="E230" s="3276"/>
      <c r="F230" s="3265">
        <v>0.05</v>
      </c>
      <c r="G230" s="3282"/>
    </row>
    <row r="231" spans="1:7">
      <c r="A231" s="3275" t="s">
        <v>304</v>
      </c>
      <c r="B231" s="3264" t="s">
        <v>3218</v>
      </c>
      <c r="C231" s="3276"/>
      <c r="D231" s="3276"/>
      <c r="E231" s="3276"/>
      <c r="F231" s="3265">
        <v>0.05</v>
      </c>
      <c r="G231" s="3282"/>
    </row>
    <row r="232" spans="1:7">
      <c r="A232" s="3275" t="s">
        <v>304</v>
      </c>
      <c r="B232" s="3264" t="s">
        <v>3219</v>
      </c>
      <c r="C232" s="3276"/>
      <c r="D232" s="3276"/>
      <c r="E232" s="3276"/>
      <c r="F232" s="3265">
        <v>0.05</v>
      </c>
      <c r="G232" s="3282"/>
    </row>
    <row r="233" spans="1:7" ht="14.25" thickBot="1">
      <c r="A233" s="3278" t="s">
        <v>304</v>
      </c>
      <c r="B233" s="3268" t="s">
        <v>3220</v>
      </c>
      <c r="C233" s="3270"/>
      <c r="D233" s="3270"/>
      <c r="E233" s="3270"/>
      <c r="F233" s="3269">
        <v>0.05</v>
      </c>
      <c r="G233" s="3283"/>
    </row>
    <row r="234" spans="1:7">
      <c r="A234" s="3274" t="s">
        <v>305</v>
      </c>
      <c r="B234" s="3260" t="s">
        <v>2869</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2889</v>
      </c>
      <c r="C238" s="3265">
        <v>0.14899999999999999</v>
      </c>
      <c r="D238" s="3265">
        <v>0.14899999999999999</v>
      </c>
      <c r="E238" s="3265">
        <v>0.15</v>
      </c>
      <c r="F238" s="3265">
        <v>0.15</v>
      </c>
      <c r="G238" s="3266">
        <v>0.15</v>
      </c>
    </row>
    <row r="239" spans="1:7">
      <c r="A239" s="3275" t="s">
        <v>305</v>
      </c>
      <c r="B239" s="3264" t="s">
        <v>2893</v>
      </c>
      <c r="C239" s="3265">
        <v>0.15</v>
      </c>
      <c r="D239" s="3265">
        <v>0.15</v>
      </c>
      <c r="E239" s="3265">
        <v>0.15</v>
      </c>
      <c r="F239" s="3265">
        <v>0.15</v>
      </c>
      <c r="G239" s="3266">
        <v>0.15</v>
      </c>
    </row>
    <row r="240" spans="1:7">
      <c r="A240" s="3275" t="s">
        <v>305</v>
      </c>
      <c r="B240" s="3264" t="s">
        <v>2898</v>
      </c>
      <c r="C240" s="3265">
        <v>0.15</v>
      </c>
      <c r="D240" s="3265">
        <v>0.15</v>
      </c>
      <c r="E240" s="3265">
        <v>0.15</v>
      </c>
      <c r="F240" s="3265">
        <v>0.15</v>
      </c>
      <c r="G240" s="3266">
        <v>0.15</v>
      </c>
    </row>
    <row r="241" spans="1:7">
      <c r="A241" s="3275" t="s">
        <v>305</v>
      </c>
      <c r="B241" s="3264" t="s">
        <v>2902</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2908</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2916</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2921</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2929</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2942</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2951</v>
      </c>
      <c r="C258" s="3265">
        <v>0.14299999999999999</v>
      </c>
      <c r="D258" s="3265">
        <v>0.14299999999999999</v>
      </c>
      <c r="E258" s="3265">
        <v>0.15</v>
      </c>
      <c r="F258" s="3265">
        <v>0.14799999999999999</v>
      </c>
      <c r="G258" s="3266">
        <v>0.14599999999999999</v>
      </c>
    </row>
    <row r="259" spans="1:7">
      <c r="A259" s="3275" t="s">
        <v>305</v>
      </c>
      <c r="B259" s="3264" t="s">
        <v>2955</v>
      </c>
      <c r="C259" s="3265">
        <v>0.14399999999999999</v>
      </c>
      <c r="D259" s="3265">
        <v>0.14399999999999999</v>
      </c>
      <c r="E259" s="3265">
        <v>0.14899999999999999</v>
      </c>
      <c r="F259" s="3265">
        <v>0.14699999999999999</v>
      </c>
      <c r="G259" s="3266">
        <v>0.14599999999999999</v>
      </c>
    </row>
    <row r="260" spans="1:7">
      <c r="A260" s="3275" t="s">
        <v>305</v>
      </c>
      <c r="B260" s="3264" t="s">
        <v>2962</v>
      </c>
      <c r="C260" s="3265">
        <v>0.109</v>
      </c>
      <c r="D260" s="3265">
        <v>0.111</v>
      </c>
      <c r="E260" s="3265">
        <v>0.13100000000000001</v>
      </c>
      <c r="F260" s="3265">
        <v>0.126</v>
      </c>
      <c r="G260" s="3266">
        <v>0.11899999999999999</v>
      </c>
    </row>
    <row r="261" spans="1:7">
      <c r="A261" s="3275" t="s">
        <v>305</v>
      </c>
      <c r="B261" s="3264" t="s">
        <v>2969</v>
      </c>
      <c r="C261" s="3265">
        <v>0.1</v>
      </c>
      <c r="D261" s="3265">
        <v>0.1</v>
      </c>
      <c r="E261" s="3265">
        <v>0.11799999999999999</v>
      </c>
      <c r="F261" s="3265">
        <v>0.108</v>
      </c>
      <c r="G261" s="3266">
        <v>0.107</v>
      </c>
    </row>
    <row r="262" spans="1:7">
      <c r="A262" s="3275" t="s">
        <v>305</v>
      </c>
      <c r="B262" s="3264" t="s">
        <v>2975</v>
      </c>
      <c r="C262" s="3265">
        <v>0.1</v>
      </c>
      <c r="D262" s="3265">
        <v>0.1</v>
      </c>
      <c r="E262" s="3265">
        <v>0.1</v>
      </c>
      <c r="F262" s="3265">
        <v>0.14099999999999999</v>
      </c>
      <c r="G262" s="3266">
        <v>0.1</v>
      </c>
    </row>
    <row r="263" spans="1:7">
      <c r="A263" s="3275" t="s">
        <v>305</v>
      </c>
      <c r="B263" s="3264" t="s">
        <v>2982</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2993</v>
      </c>
      <c r="C265" s="3276"/>
      <c r="D265" s="3276"/>
      <c r="E265" s="3276"/>
      <c r="F265" s="3265">
        <v>0.05</v>
      </c>
      <c r="G265" s="3282"/>
    </row>
    <row r="266" spans="1:7">
      <c r="A266" s="3275" t="s">
        <v>305</v>
      </c>
      <c r="B266" s="3264" t="s">
        <v>2997</v>
      </c>
      <c r="C266" s="3276"/>
      <c r="D266" s="3276"/>
      <c r="E266" s="3276"/>
      <c r="F266" s="3265">
        <v>0.05</v>
      </c>
      <c r="G266" s="3282"/>
    </row>
    <row r="267" spans="1:7">
      <c r="A267" s="3275" t="s">
        <v>305</v>
      </c>
      <c r="B267" s="3264" t="s">
        <v>3002</v>
      </c>
      <c r="C267" s="3276"/>
      <c r="D267" s="3276"/>
      <c r="E267" s="3276"/>
      <c r="F267" s="3265">
        <v>0.05</v>
      </c>
      <c r="G267" s="3282"/>
    </row>
    <row r="268" spans="1:7">
      <c r="A268" s="3275" t="s">
        <v>305</v>
      </c>
      <c r="B268" s="3264" t="s">
        <v>3007</v>
      </c>
      <c r="C268" s="3276"/>
      <c r="D268" s="3276"/>
      <c r="E268" s="3276"/>
      <c r="F268" s="3265">
        <v>0.05</v>
      </c>
      <c r="G268" s="3282"/>
    </row>
    <row r="269" spans="1:7">
      <c r="A269" s="3275" t="s">
        <v>305</v>
      </c>
      <c r="B269" s="3264" t="s">
        <v>3012</v>
      </c>
      <c r="C269" s="3276"/>
      <c r="D269" s="3276"/>
      <c r="E269" s="3276"/>
      <c r="F269" s="3265">
        <v>0.05</v>
      </c>
      <c r="G269" s="3282"/>
    </row>
    <row r="270" spans="1:7">
      <c r="A270" s="3275" t="s">
        <v>305</v>
      </c>
      <c r="B270" s="3264" t="s">
        <v>3017</v>
      </c>
      <c r="C270" s="3276"/>
      <c r="D270" s="3276"/>
      <c r="E270" s="3276"/>
      <c r="F270" s="3265">
        <v>0.05</v>
      </c>
      <c r="G270" s="3282"/>
    </row>
    <row r="271" spans="1:7">
      <c r="A271" s="3275" t="s">
        <v>305</v>
      </c>
      <c r="B271" s="3264" t="s">
        <v>3221</v>
      </c>
      <c r="C271" s="3276"/>
      <c r="D271" s="3276"/>
      <c r="E271" s="3276"/>
      <c r="F271" s="3265">
        <v>0.05</v>
      </c>
      <c r="G271" s="3282"/>
    </row>
    <row r="272" spans="1:7">
      <c r="A272" s="3275" t="s">
        <v>305</v>
      </c>
      <c r="B272" s="3264" t="s">
        <v>3222</v>
      </c>
      <c r="C272" s="3276"/>
      <c r="D272" s="3276"/>
      <c r="E272" s="3276"/>
      <c r="F272" s="3265">
        <v>0.05</v>
      </c>
      <c r="G272" s="3282"/>
    </row>
    <row r="273" spans="1:7">
      <c r="A273" s="3275" t="s">
        <v>305</v>
      </c>
      <c r="B273" s="3264" t="s">
        <v>3223</v>
      </c>
      <c r="C273" s="3276"/>
      <c r="D273" s="3276"/>
      <c r="E273" s="3276"/>
      <c r="F273" s="3265">
        <v>0.05</v>
      </c>
      <c r="G273" s="3282"/>
    </row>
    <row r="274" spans="1:7">
      <c r="A274" s="3275" t="s">
        <v>305</v>
      </c>
      <c r="B274" s="3264" t="s">
        <v>3224</v>
      </c>
      <c r="C274" s="3276"/>
      <c r="D274" s="3276"/>
      <c r="E274" s="3276"/>
      <c r="F274" s="3265">
        <v>0.05</v>
      </c>
      <c r="G274" s="3282"/>
    </row>
    <row r="275" spans="1:7">
      <c r="A275" s="3275" t="s">
        <v>305</v>
      </c>
      <c r="B275" s="3264" t="s">
        <v>3225</v>
      </c>
      <c r="C275" s="3276"/>
      <c r="D275" s="3276"/>
      <c r="E275" s="3276"/>
      <c r="F275" s="3265">
        <v>0.05</v>
      </c>
      <c r="G275" s="3282"/>
    </row>
    <row r="276" spans="1:7" ht="14.25" thickBot="1">
      <c r="A276" s="3278" t="s">
        <v>305</v>
      </c>
      <c r="B276" s="3268" t="s">
        <v>3226</v>
      </c>
      <c r="C276" s="3270"/>
      <c r="D276" s="3270"/>
      <c r="E276" s="3270"/>
      <c r="F276" s="3269">
        <v>0.05</v>
      </c>
      <c r="G276" s="3283"/>
    </row>
    <row r="277" spans="1:7">
      <c r="A277" s="3274" t="s">
        <v>306</v>
      </c>
      <c r="B277" s="3260" t="s">
        <v>2870</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2882</v>
      </c>
      <c r="C279" s="3265">
        <v>0.15</v>
      </c>
      <c r="D279" s="3265">
        <v>0.15</v>
      </c>
      <c r="E279" s="3265">
        <v>0.15</v>
      </c>
      <c r="F279" s="3265">
        <v>0.15</v>
      </c>
      <c r="G279" s="3266">
        <v>0.15</v>
      </c>
    </row>
    <row r="280" spans="1:7">
      <c r="A280" s="3275" t="s">
        <v>306</v>
      </c>
      <c r="B280" s="3264" t="s">
        <v>2886</v>
      </c>
      <c r="C280" s="3265">
        <v>0.15</v>
      </c>
      <c r="D280" s="3265">
        <v>0.15</v>
      </c>
      <c r="E280" s="3265">
        <v>0.15</v>
      </c>
      <c r="F280" s="3265">
        <v>0.15</v>
      </c>
      <c r="G280" s="3266">
        <v>0.15</v>
      </c>
    </row>
    <row r="281" spans="1:7">
      <c r="A281" s="3275" t="s">
        <v>306</v>
      </c>
      <c r="B281" s="3264" t="s">
        <v>2890</v>
      </c>
      <c r="C281" s="3265">
        <v>0.15</v>
      </c>
      <c r="D281" s="3265">
        <v>0.15</v>
      </c>
      <c r="E281" s="3265">
        <v>0.15</v>
      </c>
      <c r="F281" s="3265">
        <v>0.15</v>
      </c>
      <c r="G281" s="3266">
        <v>0.15</v>
      </c>
    </row>
    <row r="282" spans="1:7">
      <c r="A282" s="3275" t="s">
        <v>306</v>
      </c>
      <c r="B282" s="3264" t="s">
        <v>2894</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2909</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2914</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2924</v>
      </c>
      <c r="C293" s="3265">
        <v>0.15</v>
      </c>
      <c r="D293" s="3265">
        <v>0.15</v>
      </c>
      <c r="E293" s="3265">
        <v>0.15</v>
      </c>
      <c r="F293" s="3265">
        <v>0.14499999999999999</v>
      </c>
      <c r="G293" s="3266">
        <v>0.15</v>
      </c>
    </row>
    <row r="294" spans="1:7">
      <c r="A294" s="3275" t="s">
        <v>306</v>
      </c>
      <c r="B294" s="3264" t="s">
        <v>2926</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2943</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2956</v>
      </c>
      <c r="C302" s="3265">
        <v>0.15</v>
      </c>
      <c r="D302" s="3265">
        <v>0.15</v>
      </c>
      <c r="E302" s="3265">
        <v>0.15</v>
      </c>
      <c r="F302" s="3265">
        <v>0.14699999999999999</v>
      </c>
      <c r="G302" s="3266">
        <v>0.15</v>
      </c>
    </row>
    <row r="303" spans="1:7">
      <c r="A303" s="3275" t="s">
        <v>306</v>
      </c>
      <c r="B303" s="3264" t="s">
        <v>2963</v>
      </c>
      <c r="C303" s="3265">
        <v>0.15</v>
      </c>
      <c r="D303" s="3265">
        <v>0.15</v>
      </c>
      <c r="E303" s="3265">
        <v>0.15</v>
      </c>
      <c r="F303" s="3265">
        <v>0.14199999999999999</v>
      </c>
      <c r="G303" s="3266">
        <v>0.15</v>
      </c>
    </row>
    <row r="304" spans="1:7">
      <c r="A304" s="3275" t="s">
        <v>306</v>
      </c>
      <c r="B304" s="3264" t="s">
        <v>2970</v>
      </c>
      <c r="C304" s="3265">
        <v>0.15</v>
      </c>
      <c r="D304" s="3265">
        <v>0.15</v>
      </c>
      <c r="E304" s="3265">
        <v>0.15</v>
      </c>
      <c r="F304" s="3265">
        <v>0.14499999999999999</v>
      </c>
      <c r="G304" s="3266">
        <v>0.15</v>
      </c>
    </row>
    <row r="305" spans="1:7">
      <c r="A305" s="3275" t="s">
        <v>306</v>
      </c>
      <c r="B305" s="3264" t="s">
        <v>2976</v>
      </c>
      <c r="C305" s="3265">
        <v>0.15</v>
      </c>
      <c r="D305" s="3265">
        <v>0.15</v>
      </c>
      <c r="E305" s="3265">
        <v>0.15</v>
      </c>
      <c r="F305" s="3265">
        <v>0.111</v>
      </c>
      <c r="G305" s="3266">
        <v>0.15</v>
      </c>
    </row>
    <row r="306" spans="1:7">
      <c r="A306" s="3275" t="s">
        <v>306</v>
      </c>
      <c r="B306" s="3264" t="s">
        <v>2983</v>
      </c>
      <c r="C306" s="3265">
        <v>0.15</v>
      </c>
      <c r="D306" s="3265">
        <v>0.15</v>
      </c>
      <c r="E306" s="3265">
        <v>0.15</v>
      </c>
      <c r="F306" s="3265">
        <v>0.126</v>
      </c>
      <c r="G306" s="3266">
        <v>0.15</v>
      </c>
    </row>
    <row r="307" spans="1:7">
      <c r="A307" s="3275" t="s">
        <v>306</v>
      </c>
      <c r="B307" s="3264" t="s">
        <v>2988</v>
      </c>
      <c r="C307" s="3265">
        <v>0.15</v>
      </c>
      <c r="D307" s="3265">
        <v>0.15</v>
      </c>
      <c r="E307" s="3265">
        <v>0.15</v>
      </c>
      <c r="F307" s="3265">
        <v>0.12</v>
      </c>
      <c r="G307" s="3266">
        <v>0.15</v>
      </c>
    </row>
    <row r="308" spans="1:7">
      <c r="A308" s="3275" t="s">
        <v>306</v>
      </c>
      <c r="B308" s="3264" t="s">
        <v>2994</v>
      </c>
      <c r="C308" s="3265">
        <v>0.15</v>
      </c>
      <c r="D308" s="3265">
        <v>0.15</v>
      </c>
      <c r="E308" s="3265">
        <v>0.15</v>
      </c>
      <c r="F308" s="3265">
        <v>0.13</v>
      </c>
      <c r="G308" s="3266">
        <v>0.15</v>
      </c>
    </row>
    <row r="309" spans="1:7">
      <c r="A309" s="3275" t="s">
        <v>306</v>
      </c>
      <c r="B309" s="3264" t="s">
        <v>2998</v>
      </c>
      <c r="C309" s="3265">
        <v>0.15</v>
      </c>
      <c r="D309" s="3265">
        <v>0.15</v>
      </c>
      <c r="E309" s="3265">
        <v>0.15</v>
      </c>
      <c r="F309" s="3265">
        <v>0.14099999999999999</v>
      </c>
      <c r="G309" s="3266">
        <v>0.15</v>
      </c>
    </row>
    <row r="310" spans="1:7">
      <c r="A310" s="3275" t="s">
        <v>306</v>
      </c>
      <c r="B310" s="3264" t="s">
        <v>3003</v>
      </c>
      <c r="C310" s="3265">
        <v>0.15</v>
      </c>
      <c r="D310" s="3265">
        <v>0.15</v>
      </c>
      <c r="E310" s="3265">
        <v>0.15</v>
      </c>
      <c r="F310" s="3265">
        <v>0.15</v>
      </c>
      <c r="G310" s="3266">
        <v>0.15</v>
      </c>
    </row>
    <row r="311" spans="1:7">
      <c r="A311" s="3275" t="s">
        <v>306</v>
      </c>
      <c r="B311" s="3264" t="s">
        <v>3008</v>
      </c>
      <c r="C311" s="3265">
        <v>0.13200000000000001</v>
      </c>
      <c r="D311" s="3265">
        <v>0.13300000000000001</v>
      </c>
      <c r="E311" s="3265">
        <v>0.14499999999999999</v>
      </c>
      <c r="F311" s="3265">
        <v>0.14199999999999999</v>
      </c>
      <c r="G311" s="3266">
        <v>0.14000000000000001</v>
      </c>
    </row>
    <row r="312" spans="1:7">
      <c r="A312" s="3275" t="s">
        <v>306</v>
      </c>
      <c r="B312" s="3264" t="s">
        <v>3013</v>
      </c>
      <c r="C312" s="3265">
        <v>0.13800000000000001</v>
      </c>
      <c r="D312" s="3265">
        <v>0.14000000000000001</v>
      </c>
      <c r="E312" s="3265">
        <v>0.14599999999999999</v>
      </c>
      <c r="F312" s="3265">
        <v>0.14899999999999999</v>
      </c>
      <c r="G312" s="3266">
        <v>0.14199999999999999</v>
      </c>
    </row>
    <row r="313" spans="1:7">
      <c r="A313" s="3275" t="s">
        <v>306</v>
      </c>
      <c r="B313" s="3264" t="s">
        <v>3018</v>
      </c>
      <c r="C313" s="3265">
        <v>0.125</v>
      </c>
      <c r="D313" s="3265">
        <v>0.127</v>
      </c>
      <c r="E313" s="3265">
        <v>0.14399999999999999</v>
      </c>
      <c r="F313" s="3265">
        <v>0.115</v>
      </c>
      <c r="G313" s="3266">
        <v>0.13600000000000001</v>
      </c>
    </row>
    <row r="314" spans="1:7">
      <c r="A314" s="3275" t="s">
        <v>306</v>
      </c>
      <c r="B314" s="3264" t="s">
        <v>3227</v>
      </c>
      <c r="C314" s="3281"/>
      <c r="D314" s="3281"/>
      <c r="E314" s="3281"/>
      <c r="F314" s="3265">
        <v>0.05</v>
      </c>
      <c r="G314" s="3282"/>
    </row>
    <row r="315" spans="1:7">
      <c r="A315" s="3275" t="s">
        <v>306</v>
      </c>
      <c r="B315" s="3264" t="s">
        <v>3228</v>
      </c>
      <c r="C315" s="3281"/>
      <c r="D315" s="3281"/>
      <c r="E315" s="3281"/>
      <c r="F315" s="3265">
        <v>0.05</v>
      </c>
      <c r="G315" s="3282"/>
    </row>
    <row r="316" spans="1:7">
      <c r="A316" s="3275" t="s">
        <v>306</v>
      </c>
      <c r="B316" s="3264" t="s">
        <v>3229</v>
      </c>
      <c r="C316" s="3276"/>
      <c r="D316" s="3276"/>
      <c r="E316" s="3276"/>
      <c r="F316" s="3265">
        <v>0.05</v>
      </c>
      <c r="G316" s="3282"/>
    </row>
    <row r="317" spans="1:7">
      <c r="A317" s="3275" t="s">
        <v>306</v>
      </c>
      <c r="B317" s="3264" t="s">
        <v>3230</v>
      </c>
      <c r="C317" s="3276"/>
      <c r="D317" s="3276"/>
      <c r="E317" s="3276"/>
      <c r="F317" s="3265">
        <v>0.05</v>
      </c>
      <c r="G317" s="3282"/>
    </row>
    <row r="318" spans="1:7">
      <c r="A318" s="3275" t="s">
        <v>306</v>
      </c>
      <c r="B318" s="3264" t="s">
        <v>3231</v>
      </c>
      <c r="C318" s="3276"/>
      <c r="D318" s="3276"/>
      <c r="E318" s="3276"/>
      <c r="F318" s="3265">
        <v>0.05</v>
      </c>
      <c r="G318" s="3282"/>
    </row>
    <row r="319" spans="1:7">
      <c r="A319" s="3275" t="s">
        <v>306</v>
      </c>
      <c r="B319" s="3264" t="s">
        <v>3232</v>
      </c>
      <c r="C319" s="3276"/>
      <c r="D319" s="3276"/>
      <c r="E319" s="3276"/>
      <c r="F319" s="3265">
        <v>0.05</v>
      </c>
      <c r="G319" s="3282"/>
    </row>
    <row r="320" spans="1:7">
      <c r="A320" s="3275" t="s">
        <v>306</v>
      </c>
      <c r="B320" s="3264" t="s">
        <v>3233</v>
      </c>
      <c r="C320" s="3276"/>
      <c r="D320" s="3276"/>
      <c r="E320" s="3276"/>
      <c r="F320" s="3265">
        <v>0.05</v>
      </c>
      <c r="G320" s="3282"/>
    </row>
    <row r="321" spans="1:7">
      <c r="A321" s="3275" t="s">
        <v>306</v>
      </c>
      <c r="B321" s="3264" t="s">
        <v>3234</v>
      </c>
      <c r="C321" s="3276"/>
      <c r="D321" s="3276"/>
      <c r="E321" s="3276"/>
      <c r="F321" s="3265">
        <v>0.05</v>
      </c>
      <c r="G321" s="3282"/>
    </row>
    <row r="322" spans="1:7">
      <c r="A322" s="3275" t="s">
        <v>306</v>
      </c>
      <c r="B322" s="3264" t="s">
        <v>3235</v>
      </c>
      <c r="C322" s="3276"/>
      <c r="D322" s="3276"/>
      <c r="E322" s="3276"/>
      <c r="F322" s="3265">
        <v>0.05</v>
      </c>
      <c r="G322" s="3282"/>
    </row>
    <row r="323" spans="1:7">
      <c r="A323" s="3275" t="s">
        <v>306</v>
      </c>
      <c r="B323" s="3264" t="s">
        <v>3236</v>
      </c>
      <c r="C323" s="3276"/>
      <c r="D323" s="3276"/>
      <c r="E323" s="3276"/>
      <c r="F323" s="3265">
        <v>0.05</v>
      </c>
      <c r="G323" s="3282"/>
    </row>
    <row r="324" spans="1:7">
      <c r="A324" s="3275" t="s">
        <v>306</v>
      </c>
      <c r="B324" s="3264" t="s">
        <v>3237</v>
      </c>
      <c r="C324" s="3276"/>
      <c r="D324" s="3276"/>
      <c r="E324" s="3276"/>
      <c r="F324" s="3265">
        <v>0.05</v>
      </c>
      <c r="G324" s="3282"/>
    </row>
    <row r="325" spans="1:7">
      <c r="A325" s="3275" t="s">
        <v>306</v>
      </c>
      <c r="B325" s="3264" t="s">
        <v>3238</v>
      </c>
      <c r="C325" s="3276"/>
      <c r="D325" s="3276"/>
      <c r="E325" s="3276"/>
      <c r="F325" s="3265">
        <v>0.05</v>
      </c>
      <c r="G325" s="3282"/>
    </row>
    <row r="326" spans="1:7" ht="14.25" thickBot="1">
      <c r="A326" s="3278" t="s">
        <v>306</v>
      </c>
      <c r="B326" s="3268" t="s">
        <v>3239</v>
      </c>
      <c r="C326" s="3270"/>
      <c r="D326" s="3270"/>
      <c r="E326" s="3270"/>
      <c r="F326" s="3269">
        <v>0.05</v>
      </c>
      <c r="G326" s="3283"/>
    </row>
    <row r="327" spans="1:7">
      <c r="A327" s="3274" t="s">
        <v>307</v>
      </c>
      <c r="B327" s="3260" t="s">
        <v>2871</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2883</v>
      </c>
      <c r="C329" s="3265">
        <v>0.15</v>
      </c>
      <c r="D329" s="3265">
        <v>0.15</v>
      </c>
      <c r="E329" s="3265">
        <v>0.15</v>
      </c>
      <c r="F329" s="3265">
        <v>0.15</v>
      </c>
      <c r="G329" s="3266">
        <v>0.15</v>
      </c>
    </row>
    <row r="330" spans="1:7">
      <c r="A330" s="3275" t="s">
        <v>307</v>
      </c>
      <c r="B330" s="3264" t="s">
        <v>2887</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2895</v>
      </c>
      <c r="C332" s="3265">
        <v>0.15</v>
      </c>
      <c r="D332" s="3265">
        <v>0.15</v>
      </c>
      <c r="E332" s="3265">
        <v>0.15</v>
      </c>
      <c r="F332" s="3265">
        <v>0.15</v>
      </c>
      <c r="G332" s="3266">
        <v>0.15</v>
      </c>
    </row>
    <row r="333" spans="1:7">
      <c r="A333" s="3275" t="s">
        <v>307</v>
      </c>
      <c r="B333" s="3264" t="s">
        <v>2899</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2905</v>
      </c>
      <c r="C336" s="3265">
        <v>0.15</v>
      </c>
      <c r="D336" s="3265">
        <v>0.15</v>
      </c>
      <c r="E336" s="3265">
        <v>0.15</v>
      </c>
      <c r="F336" s="3265">
        <v>0.14199999999999999</v>
      </c>
      <c r="G336" s="3266">
        <v>0.15</v>
      </c>
    </row>
    <row r="337" spans="1:7">
      <c r="A337" s="3275" t="s">
        <v>307</v>
      </c>
      <c r="B337" s="3264" t="s">
        <v>2910</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2917</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2922</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2930</v>
      </c>
      <c r="C345" s="3265">
        <v>0.15</v>
      </c>
      <c r="D345" s="3265">
        <v>0.15</v>
      </c>
      <c r="E345" s="3265">
        <v>0.15</v>
      </c>
      <c r="F345" s="3265">
        <v>0.13800000000000001</v>
      </c>
      <c r="G345" s="3266">
        <v>0.15</v>
      </c>
    </row>
    <row r="346" spans="1:7">
      <c r="A346" s="3275" t="s">
        <v>307</v>
      </c>
      <c r="B346" s="3264" t="s">
        <v>2932</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2939</v>
      </c>
      <c r="C348" s="3265">
        <v>0.15</v>
      </c>
      <c r="D348" s="3265">
        <v>0.15</v>
      </c>
      <c r="E348" s="3265">
        <v>0.15</v>
      </c>
      <c r="F348" s="3265">
        <v>0.14399999999999999</v>
      </c>
      <c r="G348" s="3266">
        <v>0.15</v>
      </c>
    </row>
    <row r="349" spans="1:7">
      <c r="A349" s="3275" t="s">
        <v>307</v>
      </c>
      <c r="B349" s="3264" t="s">
        <v>2944</v>
      </c>
      <c r="C349" s="3265">
        <v>0.15</v>
      </c>
      <c r="D349" s="3265">
        <v>0.15</v>
      </c>
      <c r="E349" s="3265">
        <v>0.15</v>
      </c>
      <c r="F349" s="3265">
        <v>0.15</v>
      </c>
      <c r="G349" s="3266">
        <v>0.15</v>
      </c>
    </row>
    <row r="350" spans="1:7">
      <c r="A350" s="3275" t="s">
        <v>307</v>
      </c>
      <c r="B350" s="3264" t="s">
        <v>2947</v>
      </c>
      <c r="C350" s="3265">
        <v>0.15</v>
      </c>
      <c r="D350" s="3265">
        <v>0.15</v>
      </c>
      <c r="E350" s="3265">
        <v>0.15</v>
      </c>
      <c r="F350" s="3265">
        <v>0.14699999999999999</v>
      </c>
      <c r="G350" s="3266">
        <v>0.15</v>
      </c>
    </row>
    <row r="351" spans="1:7">
      <c r="A351" s="3275" t="s">
        <v>307</v>
      </c>
      <c r="B351" s="3264" t="s">
        <v>2952</v>
      </c>
      <c r="C351" s="3265">
        <v>0.15</v>
      </c>
      <c r="D351" s="3265">
        <v>0.15</v>
      </c>
      <c r="E351" s="3265">
        <v>0.15</v>
      </c>
      <c r="F351" s="3265">
        <v>0.13</v>
      </c>
      <c r="G351" s="3266">
        <v>0.15</v>
      </c>
    </row>
    <row r="352" spans="1:7">
      <c r="A352" s="3275" t="s">
        <v>307</v>
      </c>
      <c r="B352" s="3264" t="s">
        <v>2957</v>
      </c>
      <c r="C352" s="3265">
        <v>0.15</v>
      </c>
      <c r="D352" s="3265">
        <v>0.15</v>
      </c>
      <c r="E352" s="3265">
        <v>0.15</v>
      </c>
      <c r="F352" s="3265">
        <v>0.14599999999999999</v>
      </c>
      <c r="G352" s="3266">
        <v>0.15</v>
      </c>
    </row>
    <row r="353" spans="1:7">
      <c r="A353" s="3275" t="s">
        <v>307</v>
      </c>
      <c r="B353" s="3264" t="s">
        <v>2964</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2977</v>
      </c>
      <c r="C355" s="3265">
        <v>0.15</v>
      </c>
      <c r="D355" s="3265">
        <v>0.15</v>
      </c>
      <c r="E355" s="3265">
        <v>0.15</v>
      </c>
      <c r="F355" s="3265">
        <v>0.15</v>
      </c>
      <c r="G355" s="3266">
        <v>0.15</v>
      </c>
    </row>
    <row r="356" spans="1:7">
      <c r="A356" s="3275" t="s">
        <v>307</v>
      </c>
      <c r="B356" s="3264" t="s">
        <v>2984</v>
      </c>
      <c r="C356" s="3265">
        <v>0.15</v>
      </c>
      <c r="D356" s="3265">
        <v>0.15</v>
      </c>
      <c r="E356" s="3265">
        <v>0.15</v>
      </c>
      <c r="F356" s="3265">
        <v>0.15</v>
      </c>
      <c r="G356" s="3266">
        <v>0.15</v>
      </c>
    </row>
    <row r="357" spans="1:7" ht="14.25" thickBot="1">
      <c r="A357" s="3278" t="s">
        <v>307</v>
      </c>
      <c r="B357" s="3268" t="s">
        <v>2989</v>
      </c>
      <c r="C357" s="3269">
        <v>0.126</v>
      </c>
      <c r="D357" s="3269">
        <v>0.127</v>
      </c>
      <c r="E357" s="3269">
        <v>0.14299999999999999</v>
      </c>
      <c r="F357" s="3269">
        <v>0.125</v>
      </c>
      <c r="G357" s="3271">
        <v>0.129</v>
      </c>
    </row>
    <row r="358" spans="1:7">
      <c r="A358" s="3274" t="s">
        <v>2858</v>
      </c>
      <c r="B358" s="3260" t="s">
        <v>2872</v>
      </c>
      <c r="C358" s="3261">
        <v>0.15</v>
      </c>
      <c r="D358" s="3261">
        <v>0.15</v>
      </c>
      <c r="E358" s="3261">
        <v>0.15</v>
      </c>
      <c r="F358" s="3261">
        <v>0.15</v>
      </c>
      <c r="G358" s="3262">
        <v>0.15</v>
      </c>
    </row>
    <row r="359" spans="1:7">
      <c r="A359" s="3275" t="s">
        <v>2858</v>
      </c>
      <c r="B359" s="3264" t="s">
        <v>2878</v>
      </c>
      <c r="C359" s="3265">
        <v>0.1</v>
      </c>
      <c r="D359" s="3265">
        <v>0.1</v>
      </c>
      <c r="E359" s="3265">
        <v>0.1</v>
      </c>
      <c r="F359" s="3265">
        <v>0.1</v>
      </c>
      <c r="G359" s="3266">
        <v>0.1</v>
      </c>
    </row>
    <row r="360" spans="1:7">
      <c r="A360" s="3275" t="s">
        <v>2858</v>
      </c>
      <c r="B360" s="3264" t="s">
        <v>2884</v>
      </c>
      <c r="C360" s="3265">
        <v>0.15</v>
      </c>
      <c r="D360" s="3265">
        <v>0.15</v>
      </c>
      <c r="E360" s="3265">
        <v>0.15</v>
      </c>
      <c r="F360" s="3265">
        <v>0.14899999999999999</v>
      </c>
      <c r="G360" s="3266">
        <v>0.15</v>
      </c>
    </row>
    <row r="361" spans="1:7">
      <c r="A361" s="3275" t="s">
        <v>2858</v>
      </c>
      <c r="B361" s="3264" t="s">
        <v>153</v>
      </c>
      <c r="C361" s="3265">
        <v>0.15</v>
      </c>
      <c r="D361" s="3265">
        <v>0.15</v>
      </c>
      <c r="E361" s="3265">
        <v>0.15</v>
      </c>
      <c r="F361" s="3265">
        <v>0.115</v>
      </c>
      <c r="G361" s="3266">
        <v>0.15</v>
      </c>
    </row>
    <row r="362" spans="1:7">
      <c r="A362" s="3275" t="s">
        <v>2858</v>
      </c>
      <c r="B362" s="3264" t="s">
        <v>2891</v>
      </c>
      <c r="C362" s="3265">
        <v>0.15</v>
      </c>
      <c r="D362" s="3265">
        <v>0.15</v>
      </c>
      <c r="E362" s="3265">
        <v>0.15</v>
      </c>
      <c r="F362" s="3265">
        <v>0.106</v>
      </c>
      <c r="G362" s="3266">
        <v>0.15</v>
      </c>
    </row>
    <row r="363" spans="1:7">
      <c r="A363" s="3275" t="s">
        <v>2858</v>
      </c>
      <c r="B363" s="3264" t="s">
        <v>2896</v>
      </c>
      <c r="C363" s="3265">
        <v>0.15</v>
      </c>
      <c r="D363" s="3265">
        <v>0.15</v>
      </c>
      <c r="E363" s="3265">
        <v>0.15</v>
      </c>
      <c r="F363" s="3265">
        <v>0.14699999999999999</v>
      </c>
      <c r="G363" s="3266">
        <v>0.15</v>
      </c>
    </row>
    <row r="364" spans="1:7">
      <c r="A364" s="3275" t="s">
        <v>2858</v>
      </c>
      <c r="B364" s="3264" t="s">
        <v>2900</v>
      </c>
      <c r="C364" s="3265">
        <v>0.15</v>
      </c>
      <c r="D364" s="3265">
        <v>0.15</v>
      </c>
      <c r="E364" s="3265">
        <v>0.15</v>
      </c>
      <c r="F364" s="3265">
        <v>0.14799999999999999</v>
      </c>
      <c r="G364" s="3266">
        <v>0.15</v>
      </c>
    </row>
    <row r="365" spans="1:7">
      <c r="A365" s="3275" t="s">
        <v>2858</v>
      </c>
      <c r="B365" s="3264" t="s">
        <v>200</v>
      </c>
      <c r="C365" s="3265">
        <v>0.15</v>
      </c>
      <c r="D365" s="3265">
        <v>0.15</v>
      </c>
      <c r="E365" s="3265">
        <v>0.15</v>
      </c>
      <c r="F365" s="3265">
        <v>0.15</v>
      </c>
      <c r="G365" s="3266">
        <v>0.15</v>
      </c>
    </row>
    <row r="366" spans="1:7">
      <c r="A366" s="3275" t="s">
        <v>2858</v>
      </c>
      <c r="B366" s="3264" t="s">
        <v>2903</v>
      </c>
      <c r="C366" s="3265">
        <v>0.15</v>
      </c>
      <c r="D366" s="3265">
        <v>0.15</v>
      </c>
      <c r="E366" s="3265">
        <v>0.15</v>
      </c>
      <c r="F366" s="3265">
        <v>0.15</v>
      </c>
      <c r="G366" s="3266">
        <v>0.15</v>
      </c>
    </row>
    <row r="367" spans="1:7">
      <c r="A367" s="3275" t="s">
        <v>2858</v>
      </c>
      <c r="B367" s="3264" t="s">
        <v>2906</v>
      </c>
      <c r="C367" s="3265">
        <v>0.15</v>
      </c>
      <c r="D367" s="3265">
        <v>0.15</v>
      </c>
      <c r="E367" s="3265">
        <v>0.15</v>
      </c>
      <c r="F367" s="3265">
        <v>0.14699999999999999</v>
      </c>
      <c r="G367" s="3266">
        <v>0.15</v>
      </c>
    </row>
    <row r="368" spans="1:7">
      <c r="A368" s="3275" t="s">
        <v>2858</v>
      </c>
      <c r="B368" s="3264" t="s">
        <v>2911</v>
      </c>
      <c r="C368" s="3265">
        <v>0.15</v>
      </c>
      <c r="D368" s="3265">
        <v>0.15</v>
      </c>
      <c r="E368" s="3265">
        <v>0.15</v>
      </c>
      <c r="F368" s="3265">
        <v>0.13600000000000001</v>
      </c>
      <c r="G368" s="3266">
        <v>0.15</v>
      </c>
    </row>
    <row r="369" spans="1:7">
      <c r="A369" s="3275" t="s">
        <v>2858</v>
      </c>
      <c r="B369" s="3264" t="s">
        <v>214</v>
      </c>
      <c r="C369" s="3265">
        <v>0.15</v>
      </c>
      <c r="D369" s="3265">
        <v>0.15</v>
      </c>
      <c r="E369" s="3265">
        <v>0.15</v>
      </c>
      <c r="F369" s="3265">
        <v>0.14399999999999999</v>
      </c>
      <c r="G369" s="3266">
        <v>0.15</v>
      </c>
    </row>
    <row r="370" spans="1:7">
      <c r="A370" s="3275" t="s">
        <v>2858</v>
      </c>
      <c r="B370" s="3264" t="s">
        <v>221</v>
      </c>
      <c r="C370" s="3265">
        <v>0.15</v>
      </c>
      <c r="D370" s="3265">
        <v>0.15</v>
      </c>
      <c r="E370" s="3265">
        <v>0.15</v>
      </c>
      <c r="F370" s="3265">
        <v>0.14599999999999999</v>
      </c>
      <c r="G370" s="3266">
        <v>0.15</v>
      </c>
    </row>
    <row r="371" spans="1:7">
      <c r="A371" s="3275" t="s">
        <v>2858</v>
      </c>
      <c r="B371" s="3264" t="s">
        <v>229</v>
      </c>
      <c r="C371" s="3265">
        <v>0.15</v>
      </c>
      <c r="D371" s="3265">
        <v>0.15</v>
      </c>
      <c r="E371" s="3265">
        <v>0.15</v>
      </c>
      <c r="F371" s="3265">
        <v>0.12</v>
      </c>
      <c r="G371" s="3266">
        <v>0.15</v>
      </c>
    </row>
    <row r="372" spans="1:7">
      <c r="A372" s="3275" t="s">
        <v>2858</v>
      </c>
      <c r="B372" s="3264" t="s">
        <v>2919</v>
      </c>
      <c r="C372" s="3265">
        <v>0.15</v>
      </c>
      <c r="D372" s="3265">
        <v>0.15</v>
      </c>
      <c r="E372" s="3265">
        <v>0.15</v>
      </c>
      <c r="F372" s="3265">
        <v>0.14299999999999999</v>
      </c>
      <c r="G372" s="3266">
        <v>0.15</v>
      </c>
    </row>
    <row r="373" spans="1:7">
      <c r="A373" s="3275" t="s">
        <v>2858</v>
      </c>
      <c r="B373" s="3264" t="s">
        <v>258</v>
      </c>
      <c r="C373" s="3265">
        <v>0.15</v>
      </c>
      <c r="D373" s="3265">
        <v>0.15</v>
      </c>
      <c r="E373" s="3265">
        <v>0.15</v>
      </c>
      <c r="F373" s="3265">
        <v>0.14599999999999999</v>
      </c>
      <c r="G373" s="3266">
        <v>0.15</v>
      </c>
    </row>
    <row r="374" spans="1:7">
      <c r="A374" s="3275" t="s">
        <v>2858</v>
      </c>
      <c r="B374" s="3264" t="s">
        <v>266</v>
      </c>
      <c r="C374" s="3265">
        <v>0.15</v>
      </c>
      <c r="D374" s="3265">
        <v>0.15</v>
      </c>
      <c r="E374" s="3265">
        <v>0.15</v>
      </c>
      <c r="F374" s="3265">
        <v>0.14399999999999999</v>
      </c>
      <c r="G374" s="3266">
        <v>0.15</v>
      </c>
    </row>
    <row r="375" spans="1:7">
      <c r="A375" s="3275" t="s">
        <v>2858</v>
      </c>
      <c r="B375" s="3264" t="s">
        <v>2927</v>
      </c>
      <c r="C375" s="3265">
        <v>0.15</v>
      </c>
      <c r="D375" s="3265">
        <v>0.15</v>
      </c>
      <c r="E375" s="3265">
        <v>0.15</v>
      </c>
      <c r="F375" s="3265">
        <v>0.13</v>
      </c>
      <c r="G375" s="3266">
        <v>0.15</v>
      </c>
    </row>
    <row r="376" spans="1:7">
      <c r="A376" s="3275" t="s">
        <v>2858</v>
      </c>
      <c r="B376" s="3264" t="s">
        <v>277</v>
      </c>
      <c r="C376" s="3265">
        <v>0.15</v>
      </c>
      <c r="D376" s="3265">
        <v>0.15</v>
      </c>
      <c r="E376" s="3265">
        <v>0.15</v>
      </c>
      <c r="F376" s="3265">
        <v>0.14199999999999999</v>
      </c>
      <c r="G376" s="3266">
        <v>0.15</v>
      </c>
    </row>
    <row r="377" spans="1:7" ht="14.25" thickBot="1">
      <c r="A377" s="3278" t="s">
        <v>2858</v>
      </c>
      <c r="B377" s="3268" t="s">
        <v>2933</v>
      </c>
      <c r="C377" s="3269">
        <v>0.15</v>
      </c>
      <c r="D377" s="3269">
        <v>0.15</v>
      </c>
      <c r="E377" s="3269">
        <v>0.15</v>
      </c>
      <c r="F377" s="3269">
        <v>0.14000000000000001</v>
      </c>
      <c r="G377" s="3271">
        <v>0.15</v>
      </c>
    </row>
    <row r="378" spans="1:7">
      <c r="A378" s="3274" t="s">
        <v>2859</v>
      </c>
      <c r="B378" s="3260" t="s">
        <v>2873</v>
      </c>
      <c r="C378" s="3261">
        <v>0.15</v>
      </c>
      <c r="D378" s="3261">
        <v>0.15</v>
      </c>
      <c r="E378" s="3261">
        <v>0.15</v>
      </c>
      <c r="F378" s="3261">
        <v>0.107</v>
      </c>
      <c r="G378" s="3262">
        <v>0.15</v>
      </c>
    </row>
    <row r="379" spans="1:7">
      <c r="A379" s="3275" t="s">
        <v>2859</v>
      </c>
      <c r="B379" s="3264" t="s">
        <v>2879</v>
      </c>
      <c r="C379" s="3265">
        <v>0.15</v>
      </c>
      <c r="D379" s="3265">
        <v>0.15</v>
      </c>
      <c r="E379" s="3265">
        <v>0.15</v>
      </c>
      <c r="F379" s="3265">
        <v>0.115</v>
      </c>
      <c r="G379" s="3266">
        <v>0.14899999999999999</v>
      </c>
    </row>
    <row r="380" spans="1:7">
      <c r="A380" s="3275" t="s">
        <v>2859</v>
      </c>
      <c r="B380" s="3264" t="s">
        <v>2885</v>
      </c>
      <c r="C380" s="3265">
        <v>0.15</v>
      </c>
      <c r="D380" s="3265">
        <v>0.15</v>
      </c>
      <c r="E380" s="3265">
        <v>0.15</v>
      </c>
      <c r="F380" s="3265">
        <v>0.1</v>
      </c>
      <c r="G380" s="3266">
        <v>0.14799999999999999</v>
      </c>
    </row>
    <row r="381" spans="1:7">
      <c r="A381" s="3275" t="s">
        <v>2859</v>
      </c>
      <c r="B381" s="3264" t="s">
        <v>2888</v>
      </c>
      <c r="C381" s="3265">
        <v>0.15</v>
      </c>
      <c r="D381" s="3265">
        <v>0.15</v>
      </c>
      <c r="E381" s="3265">
        <v>0.15</v>
      </c>
      <c r="F381" s="3265">
        <v>0.126</v>
      </c>
      <c r="G381" s="3266">
        <v>0.15</v>
      </c>
    </row>
    <row r="382" spans="1:7">
      <c r="A382" s="3275" t="s">
        <v>2859</v>
      </c>
      <c r="B382" s="3264" t="s">
        <v>2892</v>
      </c>
      <c r="C382" s="3265">
        <v>0.15</v>
      </c>
      <c r="D382" s="3265">
        <v>0.15</v>
      </c>
      <c r="E382" s="3265">
        <v>0.15</v>
      </c>
      <c r="F382" s="3265">
        <v>0.15</v>
      </c>
      <c r="G382" s="3266">
        <v>0.15</v>
      </c>
    </row>
    <row r="383" spans="1:7">
      <c r="A383" s="3275" t="s">
        <v>2859</v>
      </c>
      <c r="B383" s="3264" t="s">
        <v>2897</v>
      </c>
      <c r="C383" s="3265">
        <v>0.15</v>
      </c>
      <c r="D383" s="3265">
        <v>0.15</v>
      </c>
      <c r="E383" s="3265">
        <v>0.15</v>
      </c>
      <c r="F383" s="3265">
        <v>0.14699999999999999</v>
      </c>
      <c r="G383" s="3266">
        <v>0.15</v>
      </c>
    </row>
    <row r="384" spans="1:7" ht="14.25" thickBot="1">
      <c r="A384" s="3285" t="s">
        <v>2859</v>
      </c>
      <c r="B384" s="3286" t="s">
        <v>2901</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4" t="s">
        <v>3240</v>
      </c>
      <c r="B1" s="3774"/>
      <c r="C1" s="3774"/>
      <c r="D1" s="3774"/>
      <c r="E1" s="3774"/>
      <c r="F1" s="3775"/>
    </row>
    <row r="2" spans="1:6" ht="15">
      <c r="A2" s="3291" t="s">
        <v>3241</v>
      </c>
      <c r="B2" s="3292"/>
      <c r="C2" s="3292"/>
      <c r="D2" s="3292"/>
      <c r="E2" s="3292"/>
      <c r="F2" s="3292"/>
    </row>
    <row r="3" spans="1:6" ht="15">
      <c r="A3" s="3291" t="s">
        <v>3242</v>
      </c>
      <c r="B3" s="3292"/>
      <c r="C3" s="3292"/>
      <c r="D3" s="3292"/>
      <c r="E3" s="3292"/>
      <c r="F3" s="3293" t="s">
        <v>3243</v>
      </c>
    </row>
    <row r="4" spans="1:6">
      <c r="A4" s="3294" t="s">
        <v>672</v>
      </c>
      <c r="B4" s="3294" t="s">
        <v>673</v>
      </c>
      <c r="C4" s="3294" t="s">
        <v>21</v>
      </c>
      <c r="D4" s="3294" t="s">
        <v>674</v>
      </c>
      <c r="E4" s="3294" t="s">
        <v>3</v>
      </c>
      <c r="F4" s="3294" t="s">
        <v>3244</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21">
        <f>基准地价修正!G23</f>
        <v>44961</v>
      </c>
      <c r="B1" s="3210" t="s">
        <v>2846</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3378</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3379</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3377</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2824</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2825</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3372</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3363</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2826</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2827</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2828</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2829</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2830</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3375</v>
      </c>
    </row>
    <row r="19" spans="1:30" s="3009" customFormat="1">
      <c r="I19" s="3208" t="s">
        <v>2831</v>
      </c>
    </row>
    <row r="20" spans="1:30" s="3009" customFormat="1"/>
    <row r="21" spans="1:30" s="3209" customFormat="1" ht="12.75">
      <c r="B21" s="3210" t="s">
        <v>2832</v>
      </c>
      <c r="C21" s="3211"/>
      <c r="D21" s="3211"/>
      <c r="E21" s="3211"/>
      <c r="F21" s="3211"/>
      <c r="G21" s="3211"/>
      <c r="H21" s="3211"/>
      <c r="I21" s="3211"/>
      <c r="J21" s="3165"/>
      <c r="K21" s="3211" t="s">
        <v>2833</v>
      </c>
      <c r="L21" s="3211"/>
      <c r="M21" s="3211"/>
      <c r="N21" s="3211"/>
      <c r="O21" s="3211"/>
      <c r="P21" s="3211"/>
      <c r="Q21" s="3165"/>
      <c r="R21" s="3776" t="s">
        <v>2834</v>
      </c>
      <c r="S21" s="3777"/>
      <c r="T21" s="3777"/>
      <c r="U21" s="3777"/>
      <c r="V21" s="3777"/>
      <c r="W21" s="3777"/>
      <c r="X21" s="3165"/>
      <c r="Y21" s="3776" t="s">
        <v>2835</v>
      </c>
      <c r="Z21" s="3777"/>
      <c r="AA21" s="3777"/>
      <c r="AB21" s="3777"/>
      <c r="AC21" s="3777"/>
      <c r="AD21" s="3777"/>
    </row>
    <row r="22" spans="1:30" s="3143" customFormat="1" ht="14.25" thickBot="1">
      <c r="B22" s="3144"/>
      <c r="C22" s="3145"/>
      <c r="D22" s="3146" t="s">
        <v>2836</v>
      </c>
      <c r="E22" s="3147" t="s">
        <v>2837</v>
      </c>
      <c r="F22" s="3147" t="s">
        <v>2838</v>
      </c>
      <c r="G22" s="3147" t="s">
        <v>2839</v>
      </c>
      <c r="H22" s="3147"/>
      <c r="I22" s="3147" t="s">
        <v>2840</v>
      </c>
      <c r="J22" s="3148"/>
      <c r="K22" s="3146" t="s">
        <v>2836</v>
      </c>
      <c r="L22" s="3147" t="s">
        <v>2837</v>
      </c>
      <c r="M22" s="3147" t="s">
        <v>2838</v>
      </c>
      <c r="N22" s="3147" t="s">
        <v>2839</v>
      </c>
      <c r="O22" s="3147"/>
      <c r="P22" s="3147" t="s">
        <v>2840</v>
      </c>
      <c r="Q22" s="3148"/>
      <c r="R22" s="3146" t="s">
        <v>2836</v>
      </c>
      <c r="S22" s="3147" t="s">
        <v>2837</v>
      </c>
      <c r="T22" s="3147" t="s">
        <v>2838</v>
      </c>
      <c r="U22" s="3147" t="s">
        <v>2839</v>
      </c>
      <c r="V22" s="3147"/>
      <c r="W22" s="3147" t="s">
        <v>2840</v>
      </c>
      <c r="X22" s="3148"/>
      <c r="Y22" s="3146" t="s">
        <v>2836</v>
      </c>
      <c r="Z22" s="3147" t="s">
        <v>2837</v>
      </c>
      <c r="AA22" s="3147" t="s">
        <v>2838</v>
      </c>
      <c r="AB22" s="3147" t="s">
        <v>2839</v>
      </c>
      <c r="AC22" s="3147"/>
      <c r="AD22" s="3147" t="s">
        <v>2840</v>
      </c>
    </row>
    <row r="23" spans="1:30" s="3161" customFormat="1" ht="12.75">
      <c r="A23" s="3149" t="s">
        <v>2841</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3378</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3379</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3377</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2824</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3373</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3374</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3363</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2842</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2843</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2844</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2845</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2830</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3370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44961</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2023-02-27T06:58:44Z</dcterms:modified>
</cp:coreProperties>
</file>