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10" windowWidth="19200" windowHeight="1083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结果表-商业" sheetId="80" r:id="rId21"/>
    <sheet name="结果表-公寓" sheetId="84" r:id="rId22"/>
    <sheet name="比较法-商业" sheetId="33" r:id="rId23"/>
    <sheet name="典型户型修正" sheetId="31" r:id="rId24"/>
    <sheet name="收益法-商业" sheetId="78"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本法" sheetId="68"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 sheetId="15"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比较法-公寓" sheetId="83" r:id="rId48"/>
    <sheet name="收益法-公寓" sheetId="82" r:id="rId49"/>
    <sheet name="面积" sheetId="77" r:id="rId50"/>
    <sheet name="Sheet3" sheetId="79" r:id="rId51"/>
    <sheet name="商业面积" sheetId="81" r:id="rId52"/>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7" hidden="1">'比较法-公寓'!$A$1:$L$50</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41">收益法!$A$1:$AK$69</definedName>
    <definedName name="_xlnm.Print_Area" localSheetId="25">'收益法 (元)'!$A$1:$AK$69</definedName>
    <definedName name="_xlnm.Print_Area" localSheetId="48">'收益法-公寓'!$A$1:$AK$69</definedName>
    <definedName name="_xlnm.Print_Area" localSheetId="24">'收益法-商业'!$A$1:$AK$69</definedName>
    <definedName name="_xlnm.Print_Area" localSheetId="13">'数据-汇总表'!$A$1:$P$32</definedName>
    <definedName name="八级">区片价!$O$1:$O$40</definedName>
    <definedName name="办公层高" localSheetId="47">'比较法-公寓'!$B$119:$M$119</definedName>
    <definedName name="办公层高">'比较法-办公'!$B$119:$M$119</definedName>
    <definedName name="办公朝向" localSheetId="47">'比较法-公寓'!$B$91:$M$91</definedName>
    <definedName name="办公朝向">'比较法-办公'!$B$91:$M$91</definedName>
    <definedName name="办公道路级别" localSheetId="47">'比较法-公寓'!$B$87:$M$87</definedName>
    <definedName name="办公道路级别">'比较法-办公'!$B$87:$M$87</definedName>
    <definedName name="办公公共部分装修" localSheetId="47">'比较法-公寓'!$B$108:$M$108</definedName>
    <definedName name="办公公共部分装修">'比较法-办公'!$B$108:$M$108</definedName>
    <definedName name="办公基础设施水平" localSheetId="47">'比较法-公寓'!$B$117:$M$117</definedName>
    <definedName name="办公基础设施水平">'比较法-办公'!$B$117:$M$117</definedName>
    <definedName name="办公集聚程度">定义!$M$1:$M$6</definedName>
    <definedName name="办公建筑结构" localSheetId="47">'比较法-公寓'!$B$106:$M$106</definedName>
    <definedName name="办公建筑结构">'比较法-办公'!$B$106:$M$106</definedName>
    <definedName name="办公建筑类型" localSheetId="47">'比较法-公寓'!$B$101:$M$101</definedName>
    <definedName name="办公建筑类型">'比较法-办公'!$B$101:$M$101</definedName>
    <definedName name="办公交易情况" localSheetId="47">'比较法-公寓'!$A$62:$M$62</definedName>
    <definedName name="办公交易情况">'比较法-办公'!$A$62:$M$62</definedName>
    <definedName name="办公楼层" localSheetId="47">'比较法-公寓'!$B$89:$M$89</definedName>
    <definedName name="办公楼层">'比较法-办公'!$B$89:$M$89</definedName>
    <definedName name="办公内部装修" localSheetId="47">'比较法-公寓'!$B$123:$M$123</definedName>
    <definedName name="办公内部装修">'比较法-办公'!$B$123:$M$123</definedName>
    <definedName name="办公物业管理" localSheetId="47">'比较法-公寓'!$B$115:$M$115</definedName>
    <definedName name="办公物业管理">'比较法-办公'!$B$115:$M$115</definedName>
    <definedName name="办公用途" localSheetId="47">'比较法-公寓'!$B$64:$M$64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7">'比较法-公寓'!$B$113:$M$113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7" i="33" l="1"/>
  <c r="G47" i="33"/>
  <c r="E47" i="33"/>
  <c r="K29" i="9"/>
  <c r="L28" i="9"/>
  <c r="L27" i="9"/>
  <c r="I48" i="34"/>
  <c r="I48" i="83" s="1"/>
  <c r="G48" i="34"/>
  <c r="G48" i="83" s="1"/>
  <c r="E48" i="34"/>
  <c r="E48" i="83" s="1"/>
  <c r="B16" i="74" l="1"/>
  <c r="A126" i="84"/>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I5" i="83"/>
  <c r="G5" i="83"/>
  <c r="E5" i="83"/>
  <c r="D3"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F21" i="6"/>
  <c r="M15" i="3"/>
  <c r="K14" i="3"/>
  <c r="D35" i="84"/>
  <c r="D2" i="83"/>
  <c r="F9" i="82"/>
  <c r="C76" i="82"/>
  <c r="D34" i="84"/>
  <c r="F8" i="82"/>
  <c r="H47" i="83" l="1"/>
  <c r="AB47" i="83" s="1"/>
  <c r="F47" i="83"/>
  <c r="AA47" i="83" s="1"/>
  <c r="C18" i="84"/>
  <c r="D18" i="84" s="1"/>
  <c r="K120" i="84"/>
  <c r="D121" i="84"/>
  <c r="D124" i="84"/>
  <c r="D125" i="84" s="1"/>
  <c r="H110" i="84"/>
  <c r="M49" i="84"/>
  <c r="C92" i="84"/>
  <c r="C94" i="84"/>
  <c r="U9" i="83"/>
  <c r="S10" i="83"/>
  <c r="AC10" i="83"/>
  <c r="S8" i="83"/>
  <c r="W8" i="83"/>
  <c r="S9" i="83"/>
  <c r="W9" i="83"/>
  <c r="U10" i="83"/>
  <c r="S11" i="83"/>
  <c r="W11" i="83"/>
  <c r="U12" i="83"/>
  <c r="S13" i="83"/>
  <c r="W13" i="83"/>
  <c r="U14" i="83"/>
  <c r="U15" i="83"/>
  <c r="U17" i="83"/>
  <c r="U19" i="83"/>
  <c r="U21" i="83"/>
  <c r="U23" i="83"/>
  <c r="U25"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Q71" i="82"/>
  <c r="F51" i="82"/>
  <c r="D24" i="82"/>
  <c r="P61" i="82"/>
  <c r="D22" i="82"/>
  <c r="D3" i="31"/>
  <c r="E3" i="31"/>
  <c r="F3" i="31"/>
  <c r="G3" i="31"/>
  <c r="C3"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24" i="31"/>
  <c r="C33" i="33"/>
  <c r="F26" i="82"/>
  <c r="F40" i="82"/>
  <c r="F16" i="82"/>
  <c r="M8" i="82"/>
  <c r="L47" i="82"/>
  <c r="M26" i="82"/>
  <c r="F37" i="82"/>
  <c r="F13" i="82"/>
  <c r="M28" i="82"/>
  <c r="J15" i="82"/>
  <c r="M9" i="82"/>
  <c r="M24" i="82"/>
  <c r="F38" i="82"/>
  <c r="M27" i="82"/>
  <c r="M23" i="82"/>
  <c r="F6" i="82"/>
  <c r="M6" i="82"/>
  <c r="F36" i="82"/>
  <c r="F42" i="82"/>
  <c r="M22" i="82"/>
  <c r="S47" i="83" l="1"/>
  <c r="L66" i="84"/>
  <c r="M66" i="84" s="1"/>
  <c r="L65" i="84"/>
  <c r="M65" i="84" s="1"/>
  <c r="L64" i="84"/>
  <c r="M64" i="84" s="1"/>
  <c r="L68" i="84"/>
  <c r="M68" i="84" s="1"/>
  <c r="L67" i="84"/>
  <c r="M67" i="84" s="1"/>
  <c r="L63" i="84"/>
  <c r="M63" i="84" s="1"/>
  <c r="M69" i="84" s="1"/>
  <c r="N69" i="84" s="1"/>
  <c r="F65" i="82"/>
  <c r="C27" i="82"/>
  <c r="F68" i="82"/>
  <c r="F66" i="82"/>
  <c r="F64" i="82"/>
  <c r="M22" i="1"/>
  <c r="N24" i="1" l="1"/>
  <c r="N23" i="1"/>
  <c r="N25" i="1" s="1"/>
  <c r="L23" i="1"/>
  <c r="L24" i="1"/>
  <c r="L22" i="1"/>
  <c r="M24" i="1" l="1"/>
  <c r="L25" i="1"/>
  <c r="M23" i="1" s="1"/>
  <c r="I13" i="3" l="1"/>
  <c r="D4" i="77" l="1"/>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4" i="80"/>
  <c r="D35"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B15" i="74" s="1"/>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G29" i="6" s="1"/>
  <c r="AZ343" i="3"/>
  <c r="BK5" i="3"/>
  <c r="BI5" i="3"/>
  <c r="BG5" i="3"/>
  <c r="BE5" i="3"/>
  <c r="BC5" i="3"/>
  <c r="G17" i="3"/>
  <c r="BA17" i="3"/>
  <c r="BT5" i="3"/>
  <c r="AZ352" i="3"/>
  <c r="BA15" i="3"/>
  <c r="AZ15" i="3" s="1"/>
  <c r="BB5" i="3"/>
  <c r="BR5" i="3"/>
  <c r="G28" i="6"/>
  <c r="G30" i="6" s="1"/>
  <c r="G31" i="6" s="1"/>
  <c r="AZ384" i="3"/>
  <c r="AZ396" i="3"/>
  <c r="AZ499" i="3"/>
  <c r="G509" i="3"/>
  <c r="BL493" i="3"/>
  <c r="AZ491" i="3"/>
  <c r="AZ382" i="3"/>
  <c r="U36" i="40"/>
  <c r="N4" i="43"/>
  <c r="F36" i="43"/>
  <c r="F81" i="43"/>
  <c r="H113" i="43"/>
  <c r="F48" i="43"/>
  <c r="N7" i="43"/>
  <c r="F70" i="43"/>
  <c r="M6" i="43"/>
  <c r="M11" i="43"/>
  <c r="E17" i="43"/>
  <c r="F39" i="43"/>
  <c r="I17" i="43"/>
  <c r="F35" i="43"/>
  <c r="J17" i="43"/>
  <c r="F6" i="1"/>
  <c r="G6" i="1" s="1"/>
  <c r="U17" i="39"/>
  <c r="S14" i="35"/>
  <c r="U43" i="21"/>
  <c r="U35" i="21"/>
  <c r="AC35" i="21"/>
  <c r="U10" i="2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H49"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C31" i="12" s="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53"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51" i="43"/>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F32" i="67"/>
  <c r="F60" i="67" s="1"/>
  <c r="F32" i="15"/>
  <c r="F60" i="15" s="1"/>
  <c r="F28" i="15"/>
  <c r="T13" i="1"/>
  <c r="C77" i="9"/>
  <c r="C74" i="9" s="1"/>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F11" i="12"/>
  <c r="F34" i="68"/>
  <c r="AG6" i="1"/>
  <c r="H109" i="9"/>
  <c r="H112" i="9"/>
  <c r="D21" i="53" s="1"/>
  <c r="B39" i="72" s="1"/>
  <c r="H111" i="9"/>
  <c r="D126" i="9" s="1"/>
  <c r="I14" i="74" s="1"/>
  <c r="B8" i="74" s="1"/>
  <c r="D59" i="9"/>
  <c r="M55" i="9" s="1"/>
  <c r="AD3" i="71"/>
  <c r="P22" i="43"/>
  <c r="M29" i="82"/>
  <c r="F43" i="82"/>
  <c r="F7" i="82"/>
  <c r="B13" i="76"/>
  <c r="F7" i="67"/>
  <c r="M27" i="67"/>
  <c r="E7" i="76"/>
  <c r="M26" i="15"/>
  <c r="F38" i="15"/>
  <c r="M27" i="15"/>
  <c r="F8" i="15"/>
  <c r="F9" i="67"/>
  <c r="F6" i="15"/>
  <c r="F9" i="15"/>
  <c r="D2" i="35"/>
  <c r="M8" i="15"/>
  <c r="D2" i="21"/>
  <c r="AO10" i="1"/>
  <c r="M28" i="15"/>
  <c r="M8" i="67"/>
  <c r="AO13" i="1"/>
  <c r="E13" i="76"/>
  <c r="D35" i="9"/>
  <c r="F40" i="15"/>
  <c r="L48" i="15"/>
  <c r="B12" i="76"/>
  <c r="F26" i="15"/>
  <c r="L48" i="67"/>
  <c r="F7" i="73"/>
  <c r="AO9" i="1"/>
  <c r="E2" i="68"/>
  <c r="F41" i="67"/>
  <c r="E2" i="69"/>
  <c r="M24" i="67"/>
  <c r="AO12" i="1"/>
  <c r="F43" i="15"/>
  <c r="M23" i="15"/>
  <c r="F42" i="67"/>
  <c r="F37" i="15"/>
  <c r="D2" i="37"/>
  <c r="E9" i="76"/>
  <c r="D9" i="68"/>
  <c r="B7" i="76"/>
  <c r="F43" i="67"/>
  <c r="F3" i="73"/>
  <c r="AO11" i="1"/>
  <c r="E8" i="76"/>
  <c r="M22" i="15"/>
  <c r="F7" i="15"/>
  <c r="B11" i="76"/>
  <c r="F16" i="15"/>
  <c r="J15" i="15"/>
  <c r="L47" i="15"/>
  <c r="M21" i="67"/>
  <c r="F36" i="67"/>
  <c r="C76" i="67"/>
  <c r="F42" i="15"/>
  <c r="M26" i="67"/>
  <c r="M23" i="67"/>
  <c r="E10" i="76"/>
  <c r="F37" i="67"/>
  <c r="F6" i="67"/>
  <c r="M28" i="67"/>
  <c r="D2" i="33"/>
  <c r="E12" i="76"/>
  <c r="F16" i="67"/>
  <c r="M6" i="67"/>
  <c r="E11" i="76"/>
  <c r="F5" i="73"/>
  <c r="L47" i="67"/>
  <c r="F20" i="31"/>
  <c r="M24" i="15"/>
  <c r="F13" i="15"/>
  <c r="F38" i="67"/>
  <c r="B9" i="76"/>
  <c r="F27" i="68"/>
  <c r="B8" i="76"/>
  <c r="F26" i="67"/>
  <c r="F13" i="67"/>
  <c r="C76" i="15"/>
  <c r="J15" i="67"/>
  <c r="F6" i="73"/>
  <c r="C36" i="68"/>
  <c r="D2" i="36"/>
  <c r="M22" i="67"/>
  <c r="F36" i="15"/>
  <c r="D34" i="9"/>
  <c r="F8" i="67"/>
  <c r="M29" i="67"/>
  <c r="B10" i="76"/>
  <c r="D2" i="34"/>
  <c r="M29" i="15"/>
  <c r="F4" i="73"/>
  <c r="F35" i="67"/>
  <c r="M6" i="15"/>
  <c r="M9" i="67"/>
  <c r="F40" i="67"/>
  <c r="M9" i="15"/>
  <c r="F50" i="82" l="1"/>
  <c r="C49" i="82" s="1"/>
  <c r="M7" i="82"/>
  <c r="J6" i="82" s="1"/>
  <c r="C6" i="82"/>
  <c r="F71" i="82"/>
  <c r="M8" i="1"/>
  <c r="C36" i="11"/>
  <c r="C24" i="12"/>
  <c r="F8" i="1"/>
  <c r="M47" i="80"/>
  <c r="M47" i="84"/>
  <c r="C7" i="83"/>
  <c r="C59" i="83" s="1"/>
  <c r="J51" i="82"/>
  <c r="C28" i="82"/>
  <c r="C77" i="84"/>
  <c r="C74" i="84" s="1"/>
  <c r="J1" i="73"/>
  <c r="AQ9" i="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2" i="43"/>
  <c r="H50" i="43"/>
  <c r="H48" i="43"/>
  <c r="H54" i="43"/>
  <c r="H55"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7" i="80"/>
  <c r="C74" i="80" s="1"/>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C65" i="40"/>
  <c r="D63" i="40"/>
  <c r="J59" i="34"/>
  <c r="K59" i="34" s="1"/>
  <c r="L59" i="34" s="1"/>
  <c r="M59" i="34" s="1"/>
  <c r="N59" i="34" s="1"/>
  <c r="O59" i="34" s="1"/>
  <c r="M49" i="9"/>
  <c r="D124" i="9"/>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6" i="82"/>
  <c r="L48" i="82"/>
  <c r="D7" i="73"/>
  <c r="D4" i="73"/>
  <c r="D5" i="73"/>
  <c r="D6" i="73"/>
  <c r="D3" i="73"/>
  <c r="F8" i="78"/>
  <c r="C16" i="67"/>
  <c r="F7" i="78"/>
  <c r="M6" i="78"/>
  <c r="C17" i="67"/>
  <c r="F36" i="78"/>
  <c r="F16" i="78"/>
  <c r="F9" i="78"/>
  <c r="L48" i="78"/>
  <c r="M27" i="78"/>
  <c r="L47" i="78"/>
  <c r="F38" i="78"/>
  <c r="M24" i="78"/>
  <c r="F26" i="78"/>
  <c r="C14" i="67"/>
  <c r="F40" i="78"/>
  <c r="M26" i="78"/>
  <c r="F13" i="78"/>
  <c r="C16" i="15"/>
  <c r="G1" i="73"/>
  <c r="O8" i="1" l="1"/>
  <c r="P8" i="1" s="1"/>
  <c r="E20" i="43"/>
  <c r="L56" i="82"/>
  <c r="L60" i="82"/>
  <c r="L58" i="82"/>
  <c r="L57" i="82"/>
  <c r="H7" i="34"/>
  <c r="D59" i="83"/>
  <c r="E59" i="83" s="1"/>
  <c r="F59" i="83" s="1"/>
  <c r="G59" i="83" s="1"/>
  <c r="H59" i="83" s="1"/>
  <c r="I59" i="83" s="1"/>
  <c r="J59" i="83" s="1"/>
  <c r="K59" i="83" s="1"/>
  <c r="L59" i="83" s="1"/>
  <c r="M59" i="83" s="1"/>
  <c r="N59" i="83" s="1"/>
  <c r="O59" i="83" s="1"/>
  <c r="J7" i="83"/>
  <c r="H7" i="83"/>
  <c r="F7" i="83"/>
  <c r="L59" i="82"/>
  <c r="M59" i="82"/>
  <c r="J57" i="82"/>
  <c r="J55" i="82" s="1"/>
  <c r="J58" i="82" s="1"/>
  <c r="Q50" i="82" s="1"/>
  <c r="N59" i="82"/>
  <c r="I54" i="82"/>
  <c r="J53" i="82"/>
  <c r="G8" i="1"/>
  <c r="G16" i="1" s="1"/>
  <c r="F10" i="39" s="1"/>
  <c r="I20" i="43"/>
  <c r="F11" i="82"/>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A3" i="3" s="1"/>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B40" i="1"/>
  <c r="C18" i="67"/>
  <c r="C15" i="67"/>
  <c r="M11" i="15"/>
  <c r="J10" i="15" s="1"/>
  <c r="J5" i="15" s="1"/>
  <c r="F11" i="67"/>
  <c r="F11" i="15"/>
  <c r="M11" i="67"/>
  <c r="J10" i="67" s="1"/>
  <c r="J5" i="67" s="1"/>
  <c r="Q73" i="67"/>
  <c r="Q60" i="67"/>
  <c r="P17" i="43"/>
  <c r="M17" i="43"/>
  <c r="N17" i="43"/>
  <c r="G20" i="43" s="1"/>
  <c r="O17" i="43"/>
  <c r="Q60" i="15"/>
  <c r="Q73" i="15"/>
  <c r="Q74" i="15"/>
  <c r="Q61" i="15"/>
  <c r="Q61" i="67"/>
  <c r="Q74" i="67"/>
  <c r="M9" i="78"/>
  <c r="F6" i="78"/>
  <c r="AE7" i="1"/>
  <c r="M22" i="78"/>
  <c r="F37" i="78"/>
  <c r="J15" i="78"/>
  <c r="C76" i="78"/>
  <c r="M29" i="78"/>
  <c r="M8" i="78"/>
  <c r="F42" i="78"/>
  <c r="F43" i="78"/>
  <c r="M28" i="78"/>
  <c r="C16" i="78"/>
  <c r="M23" i="78"/>
  <c r="F1" i="82" l="1"/>
  <c r="Q52" i="82"/>
  <c r="AA7" i="83"/>
  <c r="R49" i="83" s="1"/>
  <c r="S7" i="83"/>
  <c r="W7" i="83"/>
  <c r="AC7" i="83"/>
  <c r="V49" i="83" s="1"/>
  <c r="I49" i="83" s="1"/>
  <c r="Q73" i="82"/>
  <c r="Q60" i="82"/>
  <c r="Q74" i="82"/>
  <c r="Q61" i="82"/>
  <c r="U7" i="83"/>
  <c r="AB7" i="83"/>
  <c r="T49" i="83" s="1"/>
  <c r="G49" i="83" s="1"/>
  <c r="Q57" i="82"/>
  <c r="Q66" i="82"/>
  <c r="C29" i="11"/>
  <c r="D27" i="11" s="1"/>
  <c r="J26" i="82"/>
  <c r="J24" i="82"/>
  <c r="J18" i="82"/>
  <c r="F24" i="78"/>
  <c r="C24" i="78" s="1"/>
  <c r="F24"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E41" i="43"/>
  <c r="C41" i="43" s="1"/>
  <c r="C20" i="43"/>
  <c r="C53" i="78"/>
  <c r="E31" i="6"/>
  <c r="F31" i="6"/>
  <c r="K24" i="6"/>
  <c r="M24" i="6" s="1"/>
  <c r="I24" i="6" s="1"/>
  <c r="S24"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C16" i="74" s="1"/>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AE8" i="1"/>
  <c r="F41" i="15"/>
  <c r="F41" i="82"/>
  <c r="AE6" i="1"/>
  <c r="K26" i="6" l="1"/>
  <c r="M26" i="6" s="1"/>
  <c r="I26" i="6" s="1"/>
  <c r="S26" i="6" s="1"/>
  <c r="G54" i="83"/>
  <c r="H54" i="83" s="1"/>
  <c r="G53" i="83"/>
  <c r="H53" i="83" s="1"/>
  <c r="I53" i="83"/>
  <c r="J53" i="83" s="1"/>
  <c r="E49" i="83"/>
  <c r="I54" i="83" s="1"/>
  <c r="J54" i="83" s="1"/>
  <c r="R50" i="83"/>
  <c r="F69" i="82"/>
  <c r="J29" i="82"/>
  <c r="C66" i="82"/>
  <c r="C60" i="82"/>
  <c r="C38" i="82"/>
  <c r="C33" i="82"/>
  <c r="C32" i="82"/>
  <c r="C24"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C42" i="11" s="1"/>
  <c r="M18" i="9"/>
  <c r="B118" i="9" s="1"/>
  <c r="B14" i="74" s="1"/>
  <c r="B1" i="74" s="1"/>
  <c r="D3" i="33"/>
  <c r="D19" i="11"/>
  <c r="C19" i="11" s="1"/>
  <c r="D14" i="12"/>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38" i="67"/>
  <c r="C32" i="67"/>
  <c r="C17" i="15"/>
  <c r="C14" i="78"/>
  <c r="C17" i="78"/>
  <c r="F41" i="78"/>
  <c r="C50" i="83" l="1"/>
  <c r="C49" i="83"/>
  <c r="E53" i="83"/>
  <c r="F53" i="83" s="1"/>
  <c r="E54" i="83"/>
  <c r="F54" i="83" s="1"/>
  <c r="M21" i="6"/>
  <c r="I21" i="6" s="1"/>
  <c r="S8" i="1"/>
  <c r="L18" i="9"/>
  <c r="T12" i="43"/>
  <c r="V12" i="43" s="1"/>
  <c r="T2" i="43"/>
  <c r="V2" i="43" s="1"/>
  <c r="T10" i="43"/>
  <c r="V10" i="43" s="1"/>
  <c r="T11" i="43"/>
  <c r="V11" i="43" s="1"/>
  <c r="T9" i="43"/>
  <c r="V9" i="43" s="1"/>
  <c r="T8" i="43"/>
  <c r="V8" i="43" s="1"/>
  <c r="T5" i="43"/>
  <c r="V5" i="43" s="1"/>
  <c r="C38" i="43"/>
  <c r="E38" i="43" s="1"/>
  <c r="C34" i="43"/>
  <c r="E34" i="43" s="1"/>
  <c r="C39" i="43"/>
  <c r="E39" i="43" s="1"/>
  <c r="C33" i="43"/>
  <c r="G33" i="43" s="1"/>
  <c r="I33" i="43" s="1"/>
  <c r="T16" i="43"/>
  <c r="V16" i="43" s="1"/>
  <c r="T3" i="43"/>
  <c r="V3" i="43" s="1"/>
  <c r="T15" i="43"/>
  <c r="V15" i="43" s="1"/>
  <c r="T6" i="43"/>
  <c r="V6" i="43" s="1"/>
  <c r="T14" i="43"/>
  <c r="V14" i="43" s="1"/>
  <c r="T7" i="43"/>
  <c r="V7" i="43" s="1"/>
  <c r="T13" i="43"/>
  <c r="V13" i="43" s="1"/>
  <c r="T4" i="43"/>
  <c r="V4" i="43" s="1"/>
  <c r="C35" i="43"/>
  <c r="E35" i="43" s="1"/>
  <c r="C37" i="43"/>
  <c r="G37" i="43" s="1"/>
  <c r="I37" i="43" s="1"/>
  <c r="C36" i="43"/>
  <c r="E36"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C29"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AQ7" i="1"/>
  <c r="AR7" i="1"/>
  <c r="T7" i="1"/>
  <c r="I19" i="6"/>
  <c r="L18" i="80" s="1"/>
  <c r="M27" i="6"/>
  <c r="H63" i="40"/>
  <c r="G65" i="40"/>
  <c r="C20" i="11"/>
  <c r="C25" i="11" s="1"/>
  <c r="C24" i="11"/>
  <c r="D17" i="12"/>
  <c r="C17" i="12" s="1"/>
  <c r="C14" i="12"/>
  <c r="C16" i="12" s="1"/>
  <c r="C39" i="11"/>
  <c r="C43" i="11" s="1"/>
  <c r="C41"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5" i="74" s="1"/>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C33" i="67"/>
  <c r="C31" i="67" s="1"/>
  <c r="J14" i="67"/>
  <c r="C57" i="67"/>
  <c r="C13" i="67"/>
  <c r="J19" i="67"/>
  <c r="J17" i="67" s="1"/>
  <c r="Q49" i="67"/>
  <c r="C36" i="67"/>
  <c r="J59" i="67"/>
  <c r="J60" i="67" s="1"/>
  <c r="C17" i="82"/>
  <c r="C19" i="9"/>
  <c r="F35" i="15"/>
  <c r="C34" i="68"/>
  <c r="M21" i="15"/>
  <c r="D10" i="68"/>
  <c r="C14" i="15"/>
  <c r="E2" i="70" l="1"/>
  <c r="S21" i="6"/>
  <c r="L18" i="84"/>
  <c r="L19" i="84"/>
  <c r="M19" i="84"/>
  <c r="C118" i="84" s="1"/>
  <c r="E8" i="70"/>
  <c r="B2" i="83"/>
  <c r="B3" i="83"/>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5" i="43"/>
  <c r="I35" i="43" s="1"/>
  <c r="G38" i="43"/>
  <c r="I38" i="43" s="1"/>
  <c r="E29" i="43"/>
  <c r="C30" i="43"/>
  <c r="E30" i="43" s="1"/>
  <c r="B2" i="74"/>
  <c r="D8" i="74" s="1"/>
  <c r="D113" i="43"/>
  <c r="C19" i="78"/>
  <c r="C20" i="78" s="1"/>
  <c r="C23" i="78" s="1"/>
  <c r="C15" i="15"/>
  <c r="C18" i="15"/>
  <c r="C38" i="68"/>
  <c r="C35" i="68"/>
  <c r="M19" i="80"/>
  <c r="C118" i="80" s="1"/>
  <c r="L19" i="80"/>
  <c r="T16" i="1"/>
  <c r="C102" i="9"/>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C21" i="9"/>
  <c r="R21" i="6"/>
  <c r="R8" i="1" s="1"/>
  <c r="I47" i="37"/>
  <c r="J47" i="37" s="1"/>
  <c r="C28" i="11"/>
  <c r="C27" i="11" s="1"/>
  <c r="Q48" i="67"/>
  <c r="L46" i="67"/>
  <c r="C75" i="67"/>
  <c r="C37" i="67"/>
  <c r="C30" i="67" s="1"/>
  <c r="C39" i="67" s="1"/>
  <c r="Q70" i="67"/>
  <c r="C56" i="67"/>
  <c r="C65" i="67" s="1"/>
  <c r="J13" i="67"/>
  <c r="J23" i="67" s="1"/>
  <c r="J22" i="67"/>
  <c r="C61" i="67"/>
  <c r="C59" i="67" s="1"/>
  <c r="C64" i="67"/>
  <c r="C14" i="82"/>
  <c r="C19" i="84"/>
  <c r="C20" i="84"/>
  <c r="F35" i="82"/>
  <c r="C20" i="9"/>
  <c r="M21" i="82"/>
  <c r="C15" i="82" l="1"/>
  <c r="C18" i="82"/>
  <c r="C19" i="82"/>
  <c r="D7" i="74"/>
  <c r="C103" i="84"/>
  <c r="C102" i="84"/>
  <c r="C21" i="84"/>
  <c r="C34" i="82"/>
  <c r="C31" i="82" s="1"/>
  <c r="F63" i="82"/>
  <c r="C62" i="82" s="1"/>
  <c r="J20" i="82"/>
  <c r="C26" i="43"/>
  <c r="C27" i="43"/>
  <c r="C19" i="15"/>
  <c r="C20" i="15" s="1"/>
  <c r="C26" i="15" s="1"/>
  <c r="C26" i="78"/>
  <c r="C29" i="78" s="1"/>
  <c r="C33" i="78" s="1"/>
  <c r="C103" i="9"/>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B2" i="43"/>
  <c r="C6" i="68" s="1"/>
  <c r="C40" i="67"/>
  <c r="Q69" i="67"/>
  <c r="Q68" i="67" s="1"/>
  <c r="C58" i="67"/>
  <c r="C67" i="67" s="1"/>
  <c r="C68" i="67" s="1"/>
  <c r="C80" i="67"/>
  <c r="C79" i="67" s="1"/>
  <c r="E6" i="76"/>
  <c r="F35" i="78"/>
  <c r="M21" i="78"/>
  <c r="B6" i="76"/>
  <c r="L51" i="67"/>
  <c r="C20" i="82" l="1"/>
  <c r="C26"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C45" i="67"/>
  <c r="C46" i="67" s="1"/>
  <c r="Q56" i="67"/>
  <c r="Q47" i="67"/>
  <c r="Q53" i="67" s="1"/>
  <c r="Q65" i="67"/>
  <c r="C43" i="67"/>
  <c r="D2" i="67"/>
  <c r="C83" i="67"/>
  <c r="C82" i="67" s="1"/>
  <c r="C23" i="82" l="1"/>
  <c r="C29" i="82" s="1"/>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57" i="82" l="1"/>
  <c r="J14" i="82"/>
  <c r="C36" i="82"/>
  <c r="C13" i="82"/>
  <c r="Q49" i="82"/>
  <c r="J59" i="82"/>
  <c r="J60" i="82" s="1"/>
  <c r="J19" i="82"/>
  <c r="J17"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C61" i="82" l="1"/>
  <c r="C59" i="82" s="1"/>
  <c r="C64" i="82"/>
  <c r="L46" i="82"/>
  <c r="Q48" i="82"/>
  <c r="Q70" i="82"/>
  <c r="C75" i="82"/>
  <c r="C56" i="82"/>
  <c r="C65" i="82" s="1"/>
  <c r="C37" i="82"/>
  <c r="C30" i="82" s="1"/>
  <c r="C39" i="82" s="1"/>
  <c r="J22" i="82"/>
  <c r="J13" i="82"/>
  <c r="J23" i="82" s="1"/>
  <c r="J7" i="21"/>
  <c r="W7" i="21" s="1"/>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AA7" i="21"/>
  <c r="R48" i="21" s="1"/>
  <c r="S7" i="21"/>
  <c r="C57" i="69"/>
  <c r="C56" i="69" s="1"/>
  <c r="AB7" i="21"/>
  <c r="T48" i="21" s="1"/>
  <c r="G48" i="21" s="1"/>
  <c r="U7" i="21"/>
  <c r="N68" i="39"/>
  <c r="M70" i="39"/>
  <c r="L51" i="82"/>
  <c r="AO7" i="1"/>
  <c r="D19" i="9"/>
  <c r="D19" i="80"/>
  <c r="L51" i="15"/>
  <c r="AO6" i="1"/>
  <c r="B3" i="68"/>
  <c r="J16" i="82" l="1"/>
  <c r="J25" i="82" s="1"/>
  <c r="Q67" i="82"/>
  <c r="Q69" i="82"/>
  <c r="Q68" i="82" s="1"/>
  <c r="C40" i="82"/>
  <c r="C58" i="82"/>
  <c r="C67" i="82" s="1"/>
  <c r="C68" i="82" s="1"/>
  <c r="C80" i="82"/>
  <c r="C79" i="82" s="1"/>
  <c r="B3" i="78"/>
  <c r="Q67" i="15"/>
  <c r="D21" i="80"/>
  <c r="D102" i="80"/>
  <c r="B6" i="70"/>
  <c r="B7" i="70"/>
  <c r="D22" i="9"/>
  <c r="D21" i="9"/>
  <c r="D102" i="9"/>
  <c r="G19" i="9"/>
  <c r="B3" i="15"/>
  <c r="C57" i="68"/>
  <c r="C56" i="68" s="1"/>
  <c r="N65" i="40"/>
  <c r="H7" i="40" s="1"/>
  <c r="O63" i="40"/>
  <c r="O65" i="40" s="1"/>
  <c r="N70" i="39"/>
  <c r="O68" i="39"/>
  <c r="O70" i="39" s="1"/>
  <c r="G52" i="21"/>
  <c r="H52" i="21" s="1"/>
  <c r="G53" i="21"/>
  <c r="H53" i="21" s="1"/>
  <c r="R49" i="21"/>
  <c r="E48" i="21"/>
  <c r="I52" i="21"/>
  <c r="J52" i="21" s="1"/>
  <c r="I53" i="21"/>
  <c r="J53" i="21" s="1"/>
  <c r="D20" i="80"/>
  <c r="D20" i="9"/>
  <c r="Q47" i="82" l="1"/>
  <c r="Q53" i="82" s="1"/>
  <c r="C83" i="82"/>
  <c r="C82" i="82" s="1"/>
  <c r="Q56" i="82"/>
  <c r="Q62" i="82" s="1"/>
  <c r="C43" i="82"/>
  <c r="Q65" i="82"/>
  <c r="Q75" i="82" s="1"/>
  <c r="B2" i="82"/>
  <c r="C71" i="82"/>
  <c r="C46" i="82"/>
  <c r="D103" i="80"/>
  <c r="D103" i="9"/>
  <c r="G20" i="9"/>
  <c r="C13" i="77" s="1"/>
  <c r="G21" i="9"/>
  <c r="C32" i="9"/>
  <c r="S24" i="31"/>
  <c r="R26" i="31"/>
  <c r="S26" i="31" s="1"/>
  <c r="R25" i="31"/>
  <c r="S25" i="31" s="1"/>
  <c r="J7" i="40"/>
  <c r="F7" i="40"/>
  <c r="AB7" i="40"/>
  <c r="T42" i="40" s="1"/>
  <c r="G42" i="40" s="1"/>
  <c r="U7" i="40"/>
  <c r="E52" i="21"/>
  <c r="F52" i="21" s="1"/>
  <c r="E53" i="21"/>
  <c r="F53" i="21" s="1"/>
  <c r="F7" i="39"/>
  <c r="J7" i="39"/>
  <c r="H7" i="39"/>
  <c r="C48" i="21"/>
  <c r="C49" i="21"/>
  <c r="B2" i="21" s="1"/>
  <c r="B3" i="21" s="1"/>
  <c r="D19" i="84"/>
  <c r="AO8" i="1"/>
  <c r="B8" i="70" l="1"/>
  <c r="B2" i="70" s="1"/>
  <c r="B3" i="70" s="1"/>
  <c r="D21" i="84"/>
  <c r="D22" i="84"/>
  <c r="D102" i="84"/>
  <c r="G19" i="84"/>
  <c r="B3" i="82"/>
  <c r="C14" i="77"/>
  <c r="C15" i="77"/>
  <c r="K23" i="9"/>
  <c r="K24" i="9" s="1"/>
  <c r="C35" i="9"/>
  <c r="F118" i="9" s="1"/>
  <c r="H118" i="9"/>
  <c r="S22" i="31"/>
  <c r="G46" i="40"/>
  <c r="H46" i="40" s="1"/>
  <c r="AC7" i="40"/>
  <c r="V42" i="40" s="1"/>
  <c r="I42" i="40" s="1"/>
  <c r="W7" i="40"/>
  <c r="AA7" i="40"/>
  <c r="R42" i="40" s="1"/>
  <c r="S7" i="40"/>
  <c r="AC7" i="39"/>
  <c r="V47" i="39" s="1"/>
  <c r="I47" i="39" s="1"/>
  <c r="W7" i="39"/>
  <c r="AB7" i="39"/>
  <c r="T47" i="39" s="1"/>
  <c r="G47" i="39" s="1"/>
  <c r="U7" i="39"/>
  <c r="S7" i="39"/>
  <c r="AA7" i="39"/>
  <c r="R47" i="39" s="1"/>
  <c r="D20" i="84"/>
  <c r="G20" i="84" l="1"/>
  <c r="D103" i="84"/>
  <c r="D16" i="74"/>
  <c r="C32" i="84"/>
  <c r="G21" i="84"/>
  <c r="C34" i="9"/>
  <c r="D118" i="9" s="1"/>
  <c r="D14" i="74"/>
  <c r="H4" i="52"/>
  <c r="C104" i="9"/>
  <c r="H101" i="9"/>
  <c r="H119" i="9"/>
  <c r="H5" i="52" s="1"/>
  <c r="I118" i="9"/>
  <c r="F4" i="52"/>
  <c r="B51" i="72" s="1"/>
  <c r="G118" i="9"/>
  <c r="G4" i="52" s="1"/>
  <c r="B52" i="72" s="1"/>
  <c r="F119" i="9"/>
  <c r="F5" i="52" s="1"/>
  <c r="B53" i="72" s="1"/>
  <c r="R22" i="31"/>
  <c r="B21" i="31" s="1"/>
  <c r="B20" i="31"/>
  <c r="E42" i="40"/>
  <c r="I47" i="40" s="1"/>
  <c r="J47" i="40" s="1"/>
  <c r="R43" i="40"/>
  <c r="I46" i="40"/>
  <c r="J46" i="40" s="1"/>
  <c r="G47" i="40"/>
  <c r="H47" i="40" s="1"/>
  <c r="R48" i="39"/>
  <c r="E47" i="39"/>
  <c r="G52" i="39"/>
  <c r="H52" i="39" s="1"/>
  <c r="G51" i="39"/>
  <c r="H51" i="39" s="1"/>
  <c r="I51" i="39"/>
  <c r="J51" i="39" s="1"/>
  <c r="I52" i="39"/>
  <c r="J52" i="39" s="1"/>
  <c r="C20" i="80"/>
  <c r="C19" i="80"/>
  <c r="C35" i="84" l="1"/>
  <c r="H118" i="84"/>
  <c r="G16" i="74"/>
  <c r="E16" i="74"/>
  <c r="F16" i="74"/>
  <c r="C103" i="80"/>
  <c r="G20" i="80"/>
  <c r="C102" i="80"/>
  <c r="C21" i="80"/>
  <c r="G19" i="80"/>
  <c r="D15" i="74" s="1"/>
  <c r="G15" i="74" s="1"/>
  <c r="D22" i="80"/>
  <c r="E14" i="74"/>
  <c r="F14" i="74"/>
  <c r="C105" i="9"/>
  <c r="E118" i="9"/>
  <c r="E4" i="52" s="1"/>
  <c r="B48" i="72" s="1"/>
  <c r="I4" i="52"/>
  <c r="H102" i="9"/>
  <c r="D7" i="53" s="1"/>
  <c r="B21" i="72" s="1"/>
  <c r="D45" i="9"/>
  <c r="H107" i="9"/>
  <c r="M48" i="9"/>
  <c r="D5" i="53"/>
  <c r="D119" i="9"/>
  <c r="D5" i="52" s="1"/>
  <c r="B49" i="72" s="1"/>
  <c r="D4" i="52"/>
  <c r="B47" i="72" s="1"/>
  <c r="C42" i="40"/>
  <c r="C43" i="40"/>
  <c r="E47" i="40"/>
  <c r="F47" i="40" s="1"/>
  <c r="E46" i="40"/>
  <c r="F46" i="40" s="1"/>
  <c r="C48" i="39"/>
  <c r="C47" i="39"/>
  <c r="E51" i="39"/>
  <c r="F51" i="39" s="1"/>
  <c r="E52" i="39"/>
  <c r="F52" i="39" s="1"/>
  <c r="F118" i="84" l="1"/>
  <c r="C34" i="84"/>
  <c r="D118" i="84" s="1"/>
  <c r="D119" i="84" s="1"/>
  <c r="I118" i="84"/>
  <c r="H119" i="84"/>
  <c r="C104" i="84"/>
  <c r="H101" i="84"/>
  <c r="F15" i="74"/>
  <c r="C32" i="80"/>
  <c r="G21" i="80"/>
  <c r="B5" i="74"/>
  <c r="C5" i="74" s="1"/>
  <c r="E15" i="74"/>
  <c r="B20" i="72"/>
  <c r="D6" i="53"/>
  <c r="B22" i="72" s="1"/>
  <c r="D13" i="53"/>
  <c r="D122" i="9"/>
  <c r="H108" i="9"/>
  <c r="D15" i="53" s="1"/>
  <c r="B31" i="72" s="1"/>
  <c r="C72" i="9"/>
  <c r="D53" i="9"/>
  <c r="C64" i="9"/>
  <c r="C63" i="9" s="1"/>
  <c r="C67" i="9" s="1"/>
  <c r="C68" i="9" s="1"/>
  <c r="D54" i="9" s="1"/>
  <c r="C85" i="9"/>
  <c r="D55" i="9"/>
  <c r="M53" i="9" s="1"/>
  <c r="C78" i="9"/>
  <c r="C73" i="9" s="1"/>
  <c r="D52" i="9"/>
  <c r="C93" i="9"/>
  <c r="C86" i="9" s="1"/>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107" i="84" l="1"/>
  <c r="M48" i="84"/>
  <c r="D45" i="84"/>
  <c r="C105" i="84"/>
  <c r="E118" i="84"/>
  <c r="H102" i="84"/>
  <c r="F119" i="84"/>
  <c r="G118" i="84"/>
  <c r="D5" i="74"/>
  <c r="C35" i="80"/>
  <c r="F118" i="80" s="1"/>
  <c r="H118" i="80"/>
  <c r="C79" i="9"/>
  <c r="D123" i="9"/>
  <c r="D9" i="52" s="1"/>
  <c r="D8" i="52"/>
  <c r="G14" i="74"/>
  <c r="B6" i="74" s="1"/>
  <c r="C95" i="9"/>
  <c r="C96" i="9" s="1"/>
  <c r="E96" i="9" s="1"/>
  <c r="E97" i="9" s="1"/>
  <c r="D14" i="53"/>
  <c r="B32" i="72" s="1"/>
  <c r="B30" i="72"/>
  <c r="C78" i="84" l="1"/>
  <c r="C73" i="84" s="1"/>
  <c r="C93" i="84"/>
  <c r="C86" i="84" s="1"/>
  <c r="C72" i="84"/>
  <c r="C79" i="84" s="1"/>
  <c r="C80" i="84" s="1"/>
  <c r="E80" i="84" s="1"/>
  <c r="E81" i="84" s="1"/>
  <c r="D55" i="84"/>
  <c r="M53" i="84" s="1"/>
  <c r="D52" i="84"/>
  <c r="C85" i="84"/>
  <c r="C95" i="84" s="1"/>
  <c r="C64" i="84"/>
  <c r="C63" i="84" s="1"/>
  <c r="C67" i="84" s="1"/>
  <c r="C68" i="84" s="1"/>
  <c r="D54" i="84" s="1"/>
  <c r="D53" i="84"/>
  <c r="D122" i="84"/>
  <c r="D123" i="84" s="1"/>
  <c r="H108" i="84"/>
  <c r="C81" i="84"/>
  <c r="C96" i="84"/>
  <c r="E96" i="84" s="1"/>
  <c r="E97" i="84" s="1"/>
  <c r="C34" i="80"/>
  <c r="D118" i="80" s="1"/>
  <c r="D119" i="80" s="1"/>
  <c r="C97" i="9"/>
  <c r="D58" i="9" s="1"/>
  <c r="D56" i="9" s="1"/>
  <c r="M54" i="9" s="1"/>
  <c r="N57" i="9" s="1"/>
  <c r="N59" i="9" s="1"/>
  <c r="N61" i="9" s="1"/>
  <c r="I118" i="80"/>
  <c r="H119" i="80"/>
  <c r="C104" i="80"/>
  <c r="H101" i="80"/>
  <c r="F119" i="80"/>
  <c r="G118" i="80"/>
  <c r="D6" i="74"/>
  <c r="C6" i="74"/>
  <c r="C80" i="9"/>
  <c r="E80" i="9" s="1"/>
  <c r="E81" i="9" s="1"/>
  <c r="C97" i="84" l="1"/>
  <c r="D58" i="84" s="1"/>
  <c r="D56" i="84" s="1"/>
  <c r="M54" i="84" s="1"/>
  <c r="N57" i="84" s="1"/>
  <c r="N58" i="84" s="1"/>
  <c r="N58" i="9"/>
  <c r="N60" i="9"/>
  <c r="P57" i="9"/>
  <c r="E118" i="80"/>
  <c r="H102" i="80"/>
  <c r="C105" i="80"/>
  <c r="D45" i="80"/>
  <c r="H107" i="80"/>
  <c r="M48" i="80"/>
  <c r="C81" i="9"/>
  <c r="P57" i="84" l="1"/>
  <c r="N59" i="84"/>
  <c r="N61" i="84" s="1"/>
  <c r="D122" i="80"/>
  <c r="D123" i="80" s="1"/>
  <c r="H108" i="80"/>
  <c r="D52" i="80"/>
  <c r="C85" i="80"/>
  <c r="C64" i="80"/>
  <c r="C63" i="80" s="1"/>
  <c r="C67" i="80" s="1"/>
  <c r="C68" i="80" s="1"/>
  <c r="D54" i="80" s="1"/>
  <c r="D53" i="80"/>
  <c r="C78" i="80"/>
  <c r="C73" i="80" s="1"/>
  <c r="C93" i="80"/>
  <c r="C86" i="80" s="1"/>
  <c r="C72" i="80"/>
  <c r="D55" i="80"/>
  <c r="M53" i="80" s="1"/>
  <c r="N60" i="84" l="1"/>
  <c r="C79" i="80"/>
  <c r="C80" i="80" s="1"/>
  <c r="E80" i="80" s="1"/>
  <c r="E81" i="80" s="1"/>
  <c r="C95" i="80"/>
  <c r="C81" i="80" l="1"/>
  <c r="C96" i="80"/>
  <c r="E96" i="80" s="1"/>
  <c r="E97" i="80" s="1"/>
  <c r="C97" i="80" l="1"/>
  <c r="D58" i="80" s="1"/>
  <c r="D56" i="80" s="1"/>
  <c r="M54" i="80" s="1"/>
  <c r="N57" i="80" s="1"/>
  <c r="N58" i="80" s="1"/>
  <c r="P57" i="80" l="1"/>
  <c r="N59" i="80"/>
  <c r="N61" i="80" s="1"/>
  <c r="N60"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<sst xmlns="http://schemas.openxmlformats.org/spreadsheetml/2006/main" count="9459" uniqueCount="3321">
  <si>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</si>
  <si>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</si>
  <si>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</si>
  <si>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</si>
  <si>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</si>
  <si>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</si>
  <si>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</si>
  <si>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</si>
  <si>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</si>
  <si>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</si>
  <si>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</si>
  <si>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</si>
  <si>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</si>
  <si>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</si>
  <si>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</si>
  <si>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</si>
  <si>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</si>
  <si>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</si>
  <si>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</si>
  <si>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</si>
  <si>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</si>
  <si>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</si>
  <si>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</si>
  <si>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</si>
  <si>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</si>
  <si>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</si>
  <si>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</si>
  <si>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</si>
  <si>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</si>
  <si>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</si>
  <si>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</si>
  <si>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</si>
  <si>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</si>
  <si>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</si>
  <si>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</si>
  <si>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</si>
  <si>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</si>
  <si>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</si>
  <si>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</si>
  <si>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</si>
  <si>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</si>
  <si>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</si>
  <si>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</si>
  <si>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</si>
  <si>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</si>
  <si>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</si>
  <si>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</si>
  <si>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</si>
  <si>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</si>
  <si>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</si>
  <si>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</si>
  <si>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</si>
  <si>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</si>
  <si>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</si>
  <si>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</si>
  <si>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</si>
  <si>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</si>
  <si>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</si>
  <si>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</si>
  <si>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</si>
  <si>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</si>
  <si>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</si>
  <si>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</si>
  <si>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</si>
  <si>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</si>
  <si>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</si>
  <si>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</si>
  <si>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</si>
  <si>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</si>
  <si>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</si>
  <si>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</si>
  <si>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</si>
  <si>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</si>
  <si>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</si>
  <si>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</si>
  <si>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</si>
  <si>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</si>
  <si>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</si>
  <si>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</si>
  <si>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</si>
  <si>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</si>
  <si>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</si>
  <si>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</si>
  <si>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</si>
  <si>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</si>
  <si>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</si>
  <si>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</si>
  <si>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</si>
  <si>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</si>
  <si>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</si>
  <si>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</si>
  <si>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</si>
  <si>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</si>
  <si>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</si>
  <si>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</si>
  <si>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</si>
  <si>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</si>
  <si>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</si>
  <si>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</si>
  <si>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</si>
  <si>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</si>
  <si>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</si>
  <si>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</si>
  <si>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</si>
  <si>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</si>
  <si>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</si>
  <si>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</si>
  <si>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</si>
  <si>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</si>
  <si>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</si>
  <si>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</si>
  <si>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</si>
  <si>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</si>
  <si>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</si>
  <si>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</si>
  <si>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</si>
  <si>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</si>
  <si>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</si>
  <si>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</si>
  <si>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</si>
  <si>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</si>
  <si>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</si>
  <si>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</si>
  <si>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</si>
  <si>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</si>
  <si>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</si>
  <si>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</si>
  <si>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</si>
  <si>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</si>
  <si>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</si>
  <si>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</si>
  <si>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</si>
  <si>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</si>
  <si>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</si>
  <si>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</si>
  <si>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</si>
  <si>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</si>
  <si>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</si>
  <si>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</si>
  <si>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</si>
  <si>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</si>
  <si>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</si>
  <si>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</si>
  <si>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</si>
  <si>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</si>
  <si>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</si>
  <si>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</si>
  <si>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</si>
  <si>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</si>
  <si>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</si>
  <si>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</si>
  <si>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</si>
  <si>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</si>
  <si>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</si>
  <si>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</si>
  <si>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</si>
  <si>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</si>
  <si>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</si>
  <si>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</si>
  <si>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</si>
  <si>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</si>
  <si>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</si>
  <si>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</si>
  <si>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</si>
  <si>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</si>
  <si>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</si>
  <si>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</si>
  <si>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</si>
  <si>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</si>
  <si>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</si>
  <si>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</si>
  <si>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</si>
  <si>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</si>
  <si>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</si>
  <si>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</si>
  <si>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</si>
  <si>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</si>
  <si>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</si>
  <si>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</si>
  <si>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</si>
  <si>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</si>
  <si>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</si>
  <si>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</si>
  <si>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</si>
  <si>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</si>
  <si>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</si>
  <si>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</si>
  <si>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</si>
  <si>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</si>
  <si>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</si>
  <si>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</si>
  <si>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</si>
  <si>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</si>
  <si>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</si>
  <si>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</si>
  <si>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</si>
  <si>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</si>
  <si>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</si>
  <si>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</si>
  <si>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</si>
  <si>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</si>
  <si>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</si>
  <si>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</si>
  <si>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</si>
  <si>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</si>
  <si>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</si>
  <si>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</si>
  <si>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</si>
  <si>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</si>
  <si>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</si>
  <si>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</si>
  <si>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</si>
  <si>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</si>
  <si>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</si>
  <si>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</si>
  <si>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</si>
  <si>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</si>
  <si>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</si>
  <si>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</si>
  <si>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</si>
  <si>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</si>
  <si>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</si>
  <si>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</si>
  <si>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</si>
  <si>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</si>
  <si>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</si>
  <si>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</si>
  <si>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</si>
  <si>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</si>
  <si>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</si>
  <si>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</si>
  <si>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</si>
  <si>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</si>
  <si>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</si>
  <si>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</si>
  <si>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</si>
  <si>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</si>
  <si>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</si>
  <si>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</si>
  <si>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</si>
  <si>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</si>
  <si>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</si>
  <si>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</si>
  <si>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</si>
  <si>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</si>
  <si>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</si>
  <si>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</si>
  <si>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</si>
  <si>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</si>
  <si>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</si>
  <si>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</si>
  <si>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</si>
  <si>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</si>
  <si>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</si>
  <si>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</si>
  <si>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</si>
  <si>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</si>
  <si>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</si>
  <si>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</si>
  <si>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</si>
  <si>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</si>
  <si>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</si>
  <si>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</si>
  <si>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</si>
  <si>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</si>
  <si>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</si>
  <si>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</si>
  <si>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</si>
  <si>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</si>
  <si>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</si>
  <si>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</si>
  <si>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</si>
  <si>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</si>
  <si>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</si>
  <si>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</si>
  <si>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</si>
  <si>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</si>
  <si>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</si>
  <si>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</si>
  <si>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</si>
  <si>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</si>
  <si>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</si>
  <si>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</si>
  <si>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</si>
  <si>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</si>
  <si>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</si>
  <si>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</si>
  <si>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</si>
  <si>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</si>
  <si>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</si>
  <si>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</si>
  <si>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</si>
  <si>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</si>
  <si>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</si>
  <si>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</si>
  <si>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</si>
  <si>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</si>
  <si>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</si>
  <si>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</si>
  <si>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</si>
  <si>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</si>
  <si>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</si>
  <si>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</si>
  <si>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</si>
  <si>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</si>
  <si>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</si>
  <si>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</si>
  <si>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</si>
  <si>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</si>
  <si>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</si>
  <si>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</si>
  <si>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</si>
  <si>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</si>
  <si>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</si>
  <si>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</si>
  <si>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</si>
  <si>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</si>
  <si>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</si>
  <si>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</si>
  <si>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</si>
  <si>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</si>
  <si>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</si>
  <si>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</si>
  <si>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</si>
  <si>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</si>
  <si>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</si>
  <si>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</si>
  <si>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</si>
  <si>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</si>
  <si>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</si>
  <si>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</si>
  <si>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</si>
  <si>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</si>
  <si>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</si>
  <si>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</si>
  <si>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</si>
  <si>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</si>
  <si>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</si>
  <si>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</si>
  <si>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</si>
  <si>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</si>
  <si>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</si>
  <si>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</si>
  <si>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</si>
  <si>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</si>
  <si>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</si>
  <si>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</si>
  <si>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</si>
  <si>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</si>
  <si>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</si>
  <si>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</si>
  <si>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</si>
  <si>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</si>
  <si>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</si>
  <si>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</si>
  <si>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</si>
  <si>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</si>
  <si>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</si>
  <si>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</si>
  <si>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</si>
  <si>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</si>
  <si>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</si>
  <si>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</si>
  <si>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</si>
  <si>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</si>
  <si>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</si>
  <si>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</si>
  <si>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</si>
  <si>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</si>
  <si>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</si>
  <si>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</si>
  <si>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</si>
  <si>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</si>
  <si>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</si>
  <si>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</si>
  <si>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</si>
  <si>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</si>
  <si>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</si>
  <si>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</si>
  <si>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</si>
  <si>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</si>
  <si>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</si>
  <si>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</si>
  <si>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</si>
  <si>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</si>
  <si>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</si>
  <si>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</si>
  <si>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</si>
  <si>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</si>
  <si>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</si>
  <si>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</si>
  <si>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</si>
  <si>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</si>
  <si>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</si>
  <si>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</si>
  <si>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</si>
  <si>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</si>
  <si>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</si>
  <si>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</si>
  <si>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</si>
  <si>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</si>
  <si>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</si>
  <si>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</si>
  <si>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</si>
  <si>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</si>
  <si>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</si>
  <si>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</si>
  <si>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</si>
  <si>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</si>
  <si>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</si>
  <si>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</si>
  <si>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</si>
  <si>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</si>
  <si>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</si>
  <si>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</si>
  <si>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</si>
  <si>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</si>
  <si>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</si>
  <si>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</si>
  <si>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</si>
  <si>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</si>
  <si>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</si>
  <si>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</si>
  <si>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</si>
  <si>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</si>
  <si>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</si>
  <si>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</si>
  <si>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</si>
  <si>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</si>
  <si>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</si>
  <si>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</si>
  <si>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</si>
  <si>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</si>
  <si>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</si>
  <si>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</si>
  <si>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</si>
  <si>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</si>
  <si>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</si>
  <si>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</si>
  <si>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</si>
  <si>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</si>
  <si>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</si>
  <si>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</si>
  <si>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</si>
  <si>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</si>
  <si>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</si>
  <si>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</si>
  <si>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</si>
  <si>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</si>
  <si>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</si>
  <si>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</si>
  <si>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</si>
  <si>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</si>
  <si>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</si>
  <si>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</si>
  <si>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</si>
  <si>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</si>
  <si>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</si>
  <si>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</si>
  <si>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</si>
  <si>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</si>
  <si>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</si>
  <si>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</si>
  <si>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</si>
  <si>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</si>
  <si>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</si>
  <si>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</si>
  <si>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</si>
  <si>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</si>
  <si>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</si>
  <si>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</si>
  <si>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</si>
  <si>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</si>
  <si>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</si>
  <si>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</si>
  <si>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</si>
  <si>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</si>
  <si>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</si>
  <si>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</si>
  <si>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</si>
  <si>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</si>
  <si>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</si>
  <si>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</si>
  <si>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</si>
  <si>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</si>
  <si>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</si>
  <si>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</si>
  <si>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</si>
  <si>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</si>
  <si>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</si>
  <si>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</si>
  <si>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</si>
  <si>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</si>
  <si>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</si>
  <si>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</si>
  <si>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</si>
  <si>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</si>
  <si>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</si>
  <si>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</si>
  <si>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</si>
  <si>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</si>
  <si>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</si>
  <si>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</si>
  <si>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</si>
  <si>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</si>
  <si>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</si>
  <si>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</si>
  <si>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</si>
  <si>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</si>
  <si>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</si>
  <si>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</si>
  <si>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</si>
  <si>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</si>
  <si>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</si>
  <si>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</si>
  <si>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</si>
  <si>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</si>
  <si>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</si>
  <si>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</si>
  <si>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</si>
  <si>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</si>
  <si>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</si>
  <si>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</si>
  <si>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</si>
  <si>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</si>
  <si>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</si>
  <si>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</si>
  <si>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</si>
  <si>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</si>
  <si>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</si>
  <si>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</si>
  <si>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</si>
  <si>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</si>
  <si>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</si>
  <si>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</si>
  <si>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</si>
  <si>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</si>
  <si>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</si>
  <si>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</si>
  <si>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</si>
  <si>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</si>
  <si>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</si>
  <si>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</si>
  <si>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</si>
  <si>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</si>
  <si>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</si>
  <si>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</si>
  <si>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</si>
  <si>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</si>
  <si>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</si>
  <si>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</si>
  <si>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</si>
  <si>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</si>
  <si>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</si>
  <si>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</si>
  <si>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</si>
  <si>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</si>
  <si>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</si>
  <si>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</si>
  <si>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</si>
  <si>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</si>
  <si>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</si>
  <si>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</si>
  <si>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</si>
  <si>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</si>
  <si>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</si>
  <si>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</si>
  <si>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</si>
  <si>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</si>
  <si>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</si>
  <si>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</si>
  <si>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</si>
  <si>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</si>
  <si>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</si>
  <si>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</si>
  <si>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</si>
  <si>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</si>
  <si>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</si>
  <si>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</si>
  <si>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</si>
  <si>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</si>
  <si>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</si>
  <si>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</si>
  <si>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</si>
  <si>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</si>
  <si>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</si>
  <si>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</si>
  <si>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</si>
  <si>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</si>
  <si>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</si>
  <si>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</si>
  <si>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</si>
  <si>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</si>
  <si>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</si>
  <si>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</si>
  <si>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</si>
  <si>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</si>
  <si>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</si>
  <si>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</si>
  <si>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</si>
  <si>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</si>
  <si>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</si>
  <si>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</si>
  <si>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</si>
  <si>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</si>
  <si>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</si>
  <si>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</si>
  <si>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</si>
  <si>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</si>
  <si>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</si>
  <si>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</si>
  <si>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</si>
  <si>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</si>
  <si>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</si>
  <si>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</si>
  <si>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</si>
  <si>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</si>
  <si>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</si>
  <si>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</si>
  <si>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</si>
  <si>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</si>
  <si>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</si>
  <si>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</si>
  <si>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</si>
  <si>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</si>
  <si>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</si>
  <si>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</si>
  <si>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</si>
  <si>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</si>
  <si>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</si>
  <si>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</si>
  <si>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</si>
  <si>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</si>
  <si>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</si>
  <si>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</si>
  <si>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</si>
  <si>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</si>
  <si>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</si>
  <si>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</si>
  <si>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</si>
  <si>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</si>
  <si>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</si>
  <si>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</si>
  <si>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</si>
  <si>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</si>
  <si>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</si>
  <si>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</si>
  <si>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</si>
  <si>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</si>
  <si>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</si>
  <si>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</si>
  <si>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</si>
  <si>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</si>
  <si>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</si>
  <si>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</si>
  <si>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</si>
  <si>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</si>
  <si>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</si>
  <si>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</si>
  <si>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</si>
  <si>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</si>
  <si>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</si>
  <si>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</si>
  <si>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</si>
  <si>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</si>
  <si>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</si>
  <si>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</si>
  <si>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</si>
  <si>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</si>
  <si>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</si>
  <si>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</si>
  <si>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</si>
  <si>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</si>
  <si>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</si>
  <si>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</si>
  <si>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</si>
  <si>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</si>
  <si>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</si>
  <si>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</si>
  <si>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</si>
  <si>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</si>
  <si>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</si>
  <si>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</si>
  <si>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</si>
  <si>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</si>
  <si>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</si>
  <si>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</si>
  <si>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</si>
  <si>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</si>
  <si>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</si>
  <si>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</si>
  <si>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</si>
  <si>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</si>
  <si>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</si>
  <si>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</si>
  <si>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</si>
  <si>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</si>
  <si>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</si>
  <si>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</si>
  <si>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</si>
  <si>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</si>
  <si>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</si>
  <si>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</si>
  <si>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</si>
  <si>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</si>
  <si>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</si>
  <si>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</si>
  <si>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</si>
  <si>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</si>
  <si>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</si>
  <si>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</si>
  <si>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</si>
  <si>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</si>
  <si>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</si>
  <si>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</si>
  <si>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</si>
  <si>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</si>
  <si>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</si>
  <si>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</si>
  <si>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</si>
  <si>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</si>
  <si>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</si>
  <si>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</si>
  <si>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</si>
  <si>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</si>
  <si>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</si>
  <si>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</si>
  <si>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</si>
  <si>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</si>
  <si>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</si>
  <si>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</si>
  <si>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</si>
  <si>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</si>
  <si>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</si>
  <si>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</si>
  <si>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</si>
  <si>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</si>
  <si>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</si>
  <si>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</si>
  <si>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</si>
  <si>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</si>
  <si>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</si>
  <si>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</si>
  <si>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</si>
  <si>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</si>
  <si>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</si>
  <si>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</si>
  <si>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</si>
  <si>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</si>
  <si>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</si>
  <si>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</si>
  <si>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</si>
  <si>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</si>
  <si>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</si>
  <si>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</si>
  <si>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</si>
  <si>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</si>
  <si>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</si>
  <si>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</si>
  <si>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</si>
  <si>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</si>
  <si>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</si>
  <si>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</si>
  <si>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</si>
  <si>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</si>
  <si>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</si>
  <si>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</si>
  <si>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</si>
  <si>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</si>
  <si>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</si>
  <si>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</si>
  <si>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</si>
  <si>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</si>
  <si>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</si>
  <si>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</si>
  <si>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</si>
  <si>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</si>
  <si>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</si>
  <si>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</si>
  <si>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</si>
  <si>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</si>
  <si>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</si>
  <si>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</si>
  <si>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</si>
  <si>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</si>
  <si>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</si>
  <si>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</si>
  <si>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</si>
  <si>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</si>
  <si>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</si>
  <si>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</si>
  <si>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</si>
  <si>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</si>
  <si>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</si>
  <si>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</si>
  <si>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</si>
  <si>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</si>
  <si>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</si>
  <si>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</si>
  <si>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</si>
  <si>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</si>
  <si>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</si>
  <si>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</si>
  <si>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</si>
  <si>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</si>
  <si>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</si>
  <si>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</si>
  <si>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</si>
  <si>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</si>
  <si>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</si>
  <si>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</si>
  <si>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</si>
  <si>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</si>
  <si>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</si>
  <si>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</si>
  <si>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</si>
  <si>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</si>
  <si>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</si>
  <si>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</si>
  <si>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</si>
  <si>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</si>
  <si>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</si>
  <si>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</si>
  <si>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</si>
  <si>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</si>
  <si>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</si>
  <si>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</si>
  <si>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</si>
  <si>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</si>
  <si>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</si>
  <si>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</si>
  <si>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</si>
  <si>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</si>
  <si>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</si>
  <si>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</si>
  <si>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</si>
  <si>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</si>
  <si>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</si>
  <si>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</si>
  <si>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</si>
  <si>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</si>
  <si>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</si>
  <si>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</si>
  <si>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</si>
  <si>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</si>
  <si>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</si>
  <si>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</si>
  <si>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</si>
  <si>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</si>
  <si>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</si>
  <si>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</si>
  <si>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</si>
  <si>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</si>
  <si>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</si>
  <si>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</si>
  <si>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</si>
  <si>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</si>
  <si>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</si>
  <si>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</si>
  <si>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</si>
  <si>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</si>
  <si>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</si>
  <si>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</si>
  <si>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</si>
  <si>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</si>
  <si>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</si>
  <si>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</si>
  <si>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</si>
  <si>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</si>
  <si>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</si>
  <si>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</si>
  <si>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</si>
  <si>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</si>
  <si>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</si>
  <si>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</si>
  <si>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</si>
  <si>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</si>
  <si>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</si>
  <si>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</si>
  <si>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</si>
  <si>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</si>
  <si>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</si>
  <si>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</si>
  <si>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</si>
  <si>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</si>
  <si>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</si>
  <si>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</si>
  <si>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</si>
  <si>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</si>
  <si>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</si>
  <si>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</si>
  <si>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</si>
  <si>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</si>
  <si>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</si>
  <si>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</si>
  <si>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</si>
  <si>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</si>
  <si>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</si>
  <si>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</si>
  <si>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</si>
  <si>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</si>
  <si>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</si>
  <si>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</si>
  <si>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</si>
  <si>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</si>
  <si>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</si>
  <si>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</si>
  <si>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</si>
  <si>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</si>
  <si>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</si>
  <si>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</si>
  <si>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</si>
  <si>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</si>
  <si>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</si>
  <si>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</si>
  <si>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</si>
  <si>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</si>
  <si>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</si>
  <si>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</si>
  <si>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</si>
  <si>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</si>
  <si>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</si>
  <si>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</si>
  <si>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</si>
  <si>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</si>
  <si>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</si>
  <si>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</si>
  <si>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</si>
  <si>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</si>
  <si>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</si>
  <si>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</si>
  <si>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</si>
  <si>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</si>
  <si>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</si>
  <si>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</si>
  <si>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</si>
  <si>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</si>
  <si>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</si>
  <si>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</si>
  <si>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</si>
  <si>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</si>
  <si>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</si>
  <si>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</si>
  <si>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</si>
  <si>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</si>
  <si>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</si>
  <si>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</si>
  <si>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</si>
  <si>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</si>
  <si>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</si>
  <si>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</si>
  <si>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</si>
  <si>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</si>
  <si>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</si>
  <si>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</si>
  <si>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</si>
  <si>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</si>
  <si>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</si>
  <si>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</si>
  <si>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</si>
  <si>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</si>
  <si>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</si>
  <si>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</si>
  <si>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</si>
  <si>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</si>
  <si>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</si>
  <si>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</si>
  <si>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</si>
  <si>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</si>
  <si>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</si>
  <si>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</si>
  <si>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</si>
  <si>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</si>
  <si>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</si>
  <si>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</si>
  <si>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</si>
  <si>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</si>
  <si>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</si>
  <si>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</si>
  <si>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</si>
  <si>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</si>
  <si>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</si>
  <si>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</si>
  <si>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</si>
  <si>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</si>
  <si>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</si>
  <si>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</si>
  <si>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</si>
  <si>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</si>
  <si>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</si>
  <si>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</si>
  <si>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</si>
  <si>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</si>
  <si>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</si>
  <si>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</si>
  <si>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</si>
  <si>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</si>
  <si>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</si>
  <si>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</si>
  <si>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</si>
  <si>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</si>
  <si>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</si>
  <si>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</si>
  <si>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</si>
  <si>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</si>
  <si>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</si>
  <si>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</si>
  <si>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</si>
  <si>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</si>
  <si>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</si>
  <si>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</si>
  <si>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</si>
  <si>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</si>
  <si>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</si>
  <si>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</si>
  <si>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</si>
  <si>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</si>
  <si>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</si>
  <si>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</si>
  <si>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</si>
  <si>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</si>
  <si>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</si>
  <si>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</si>
  <si>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</si>
  <si>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</si>
  <si>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</si>
  <si>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</si>
  <si>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</si>
  <si>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</si>
  <si>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</si>
  <si>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</si>
  <si>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</si>
  <si>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</si>
  <si>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</si>
  <si>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</si>
  <si>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</si>
  <si>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</si>
  <si>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</si>
  <si>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</si>
  <si>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</si>
  <si>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</si>
  <si>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</si>
  <si>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</si>
  <si>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</si>
  <si>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</si>
  <si>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</si>
  <si>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</si>
  <si>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</si>
  <si>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</si>
  <si>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</si>
  <si>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</si>
  <si>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</si>
  <si>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</si>
  <si>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</si>
  <si>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</si>
  <si>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</si>
  <si>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</si>
  <si>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</si>
  <si>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</si>
  <si>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</si>
  <si>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</si>
  <si>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</si>
  <si>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</si>
  <si>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</si>
  <si>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</si>
  <si>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</si>
  <si>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</si>
  <si>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</si>
  <si>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</si>
  <si>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</si>
  <si>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</si>
  <si>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</si>
  <si>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</si>
  <si>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</si>
  <si>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</si>
  <si>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</si>
  <si>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</si>
  <si>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</si>
  <si>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</si>
  <si>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</si>
  <si>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</si>
  <si>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</si>
  <si>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</si>
  <si>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</si>
  <si>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</si>
  <si>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</si>
  <si>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</si>
  <si>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</si>
  <si>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</si>
  <si>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</si>
  <si>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</si>
  <si>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</si>
  <si>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</si>
  <si>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</si>
  <si>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</si>
  <si>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</si>
  <si>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</si>
  <si>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</si>
  <si>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</si>
  <si>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</si>
  <si>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</si>
  <si>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</si>
  <si>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</si>
  <si>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</si>
  <si>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</si>
  <si>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</si>
  <si>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</si>
  <si>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</si>
  <si>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</si>
  <si>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</si>
  <si>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</si>
  <si>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</si>
  <si>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</si>
  <si>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</si>
  <si>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</si>
  <si>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</si>
  <si>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</si>
  <si>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</si>
  <si>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</si>
  <si>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</si>
  <si>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</si>
  <si>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</si>
  <si>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</si>
  <si>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</si>
  <si>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</si>
  <si>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</si>
  <si>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</si>
  <si>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</si>
  <si>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</si>
  <si>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</si>
  <si>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</si>
  <si>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</si>
  <si>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</si>
  <si>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</si>
  <si>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</si>
  <si>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</si>
  <si>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</si>
  <si>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</si>
  <si>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</si>
  <si>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</si>
  <si>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</si>
  <si>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</si>
  <si>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</si>
  <si>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</si>
  <si>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</si>
  <si>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</si>
  <si>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</si>
  <si>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</si>
  <si>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</si>
  <si>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</si>
  <si>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</si>
  <si>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</si>
  <si>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</si>
  <si>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</si>
  <si>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</si>
  <si>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</si>
  <si>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</si>
  <si>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</si>
  <si>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</si>
  <si>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</si>
  <si>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</si>
  <si>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</si>
  <si>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</si>
  <si>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</si>
  <si>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</si>
  <si>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</si>
  <si>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</si>
  <si>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</si>
  <si>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</si>
  <si>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</si>
  <si>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</si>
  <si>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</si>
  <si>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</si>
  <si>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</si>
  <si>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</si>
  <si>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</si>
  <si>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</si>
  <si>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</si>
  <si>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</si>
  <si>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</si>
  <si>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</si>
  <si>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</si>
  <si>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</si>
  <si>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</si>
  <si>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</si>
  <si>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</si>
  <si>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</si>
  <si>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</si>
  <si>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</si>
  <si>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</si>
  <si>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</si>
  <si>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</si>
  <si>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</si>
  <si>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</si>
  <si>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</si>
  <si>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</si>
  <si>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</si>
  <si>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</si>
  <si>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</si>
  <si>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</si>
  <si>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</si>
  <si>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</si>
  <si>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</si>
  <si>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</si>
  <si>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</si>
  <si>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</si>
  <si>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</si>
  <si>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</si>
  <si>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</si>
  <si>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</si>
  <si>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</si>
  <si>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</si>
  <si>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</si>
  <si>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</si>
  <si>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</si>
  <si>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</si>
  <si>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</si>
  <si>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</si>
  <si>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</si>
  <si>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</si>
  <si>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</si>
  <si>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</si>
  <si>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</si>
  <si>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</si>
  <si>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</si>
  <si>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</si>
  <si>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</si>
  <si>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</si>
  <si>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</si>
  <si>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</si>
  <si>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</si>
  <si>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</si>
  <si>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</si>
  <si>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</si>
  <si>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</si>
  <si>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</si>
  <si>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</si>
  <si>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</si>
  <si>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</si>
  <si>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</si>
  <si>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</si>
  <si>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</si>
  <si>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</si>
  <si>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</si>
  <si>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</si>
  <si>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</si>
  <si>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</si>
  <si>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</si>
  <si>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</si>
  <si>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</si>
  <si>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</si>
  <si>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</si>
  <si>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</si>
  <si>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</si>
  <si>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</si>
  <si>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</si>
  <si>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</si>
  <si>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</si>
  <si>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</si>
  <si>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</si>
  <si>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</si>
  <si>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</si>
  <si>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</si>
  <si>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</si>
  <si>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</si>
  <si>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</si>
  <si>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</si>
  <si>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</si>
  <si>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</si>
  <si>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</si>
  <si>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</si>
  <si>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</si>
  <si>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</si>
  <si>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</si>
  <si>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</si>
  <si>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</si>
  <si>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</si>
  <si>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</si>
  <si>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</si>
  <si>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</si>
  <si>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</si>
  <si>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</si>
  <si>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</si>
  <si>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</si>
  <si>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</si>
  <si>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</si>
  <si>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</si>
  <si>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</si>
  <si>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</si>
  <si>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</si>
  <si>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</si>
  <si>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</si>
  <si>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</si>
  <si>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</si>
  <si>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</si>
  <si>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</si>
  <si>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</si>
  <si>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</si>
  <si>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</si>
  <si>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</si>
  <si>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</si>
  <si>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</si>
  <si>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</si>
  <si>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</si>
  <si>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</si>
  <si>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</si>
  <si>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</si>
  <si>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</si>
  <si>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</si>
  <si>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</si>
  <si>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</si>
  <si>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</si>
  <si>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</si>
  <si>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</si>
  <si>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</si>
  <si>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</si>
  <si>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</si>
  <si>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</si>
  <si>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</si>
  <si>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</si>
  <si>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</si>
  <si>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</si>
  <si>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</si>
  <si>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</si>
  <si>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</si>
  <si>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</si>
  <si>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</si>
  <si>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</si>
  <si>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</si>
  <si>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</si>
  <si>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</si>
  <si>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</si>
  <si>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</si>
  <si>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</si>
  <si>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</si>
  <si>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</si>
  <si>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</si>
  <si>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</si>
  <si>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</si>
  <si>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</si>
  <si>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</si>
  <si>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</si>
  <si>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</si>
  <si>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</si>
  <si>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</si>
  <si>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</si>
  <si>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</si>
  <si>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</si>
  <si>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</si>
  <si>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</si>
  <si>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</si>
  <si>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</si>
  <si>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</si>
  <si>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</si>
  <si>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</si>
  <si>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</si>
  <si>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</si>
  <si>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</si>
  <si>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</si>
  <si>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</si>
  <si>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</si>
  <si>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</si>
  <si>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</si>
  <si>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</si>
  <si>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</si>
  <si>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</si>
  <si>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</si>
  <si>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</si>
  <si>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</si>
  <si>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</si>
  <si>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</si>
  <si>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</si>
  <si>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</si>
  <si>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</si>
  <si>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</si>
  <si>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</si>
  <si>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</si>
  <si>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</si>
  <si>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</si>
  <si>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</si>
  <si>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</si>
  <si>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</si>
  <si>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</si>
  <si>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</si>
  <si>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</si>
  <si>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</si>
  <si>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</si>
  <si>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</si>
  <si>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</si>
  <si>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</si>
  <si>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</si>
  <si>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</si>
  <si>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</si>
  <si>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</si>
  <si>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</si>
  <si>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</si>
  <si>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</si>
  <si>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</si>
  <si>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</si>
  <si>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</si>
  <si>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</si>
  <si>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</si>
  <si>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</si>
  <si>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</si>
  <si>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</si>
  <si>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</si>
  <si>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</si>
  <si>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</si>
  <si>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</si>
  <si>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</si>
  <si>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</si>
  <si>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</si>
  <si>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</si>
  <si>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</si>
  <si>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</si>
  <si>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</si>
  <si>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</si>
  <si>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</si>
  <si>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</si>
  <si>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</si>
  <si>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</si>
  <si>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</si>
  <si>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</si>
  <si>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</si>
  <si>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</si>
  <si>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</si>
  <si>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</si>
  <si>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</si>
  <si>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</si>
  <si>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</si>
  <si>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</si>
  <si>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</si>
  <si>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</si>
  <si>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</si>
  <si>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</si>
  <si>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</si>
  <si>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</si>
  <si>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</si>
  <si>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</si>
  <si>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</si>
  <si>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</si>
  <si>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</si>
  <si>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</si>
  <si>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</si>
  <si>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</si>
  <si>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</si>
  <si>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</si>
  <si>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</si>
  <si>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</si>
  <si>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</si>
  <si>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</si>
  <si>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</si>
  <si>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</si>
  <si>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</si>
  <si>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</si>
  <si>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</si>
  <si>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</si>
  <si>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</si>
  <si>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</si>
  <si>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</si>
  <si>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</si>
  <si>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</si>
  <si>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</si>
  <si>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</si>
  <si>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</si>
  <si>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</si>
  <si>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</si>
  <si>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</si>
  <si>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</si>
  <si>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</si>
  <si>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</si>
  <si>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</si>
  <si>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</si>
  <si>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</si>
  <si>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</si>
  <si>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</si>
  <si>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</si>
  <si>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</si>
  <si>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</si>
  <si>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</si>
  <si>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</si>
  <si>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</si>
  <si>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</si>
  <si>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</si>
  <si>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</si>
  <si>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</si>
  <si>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</si>
  <si>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</si>
  <si>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</si>
  <si>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</si>
  <si>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</si>
  <si>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</si>
  <si>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</si>
  <si>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</si>
  <si>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</si>
  <si>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</si>
  <si>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</si>
  <si>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</si>
  <si>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</si>
  <si>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</si>
  <si>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</si>
  <si>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</si>
  <si>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</si>
  <si>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</si>
  <si>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</si>
  <si>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</si>
  <si>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</si>
  <si>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</si>
  <si>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</si>
  <si>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</si>
  <si>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</si>
  <si>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</si>
  <si>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</si>
  <si>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</si>
  <si>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</si>
  <si>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</si>
  <si>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</si>
  <si>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</si>
  <si>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</si>
  <si>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</si>
  <si>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</si>
  <si>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</si>
  <si>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</si>
  <si>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</si>
  <si>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</si>
  <si>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</si>
  <si>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</si>
  <si>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</si>
  <si>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</si>
  <si>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</si>
  <si>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</si>
  <si>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</si>
  <si>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</si>
  <si>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</si>
  <si>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</si>
  <si>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</si>
  <si>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</si>
  <si>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</si>
  <si>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</si>
  <si>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</si>
  <si>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</si>
  <si>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</si>
  <si>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</si>
  <si>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</si>
  <si>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</si>
  <si>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</si>
  <si>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</si>
  <si>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</si>
  <si>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</si>
  <si>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</si>
  <si>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</si>
  <si>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</si>
  <si>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</si>
  <si>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</si>
  <si>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</si>
  <si>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</si>
  <si>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</si>
  <si>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</si>
  <si>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</si>
  <si>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</si>
  <si>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</si>
  <si>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</si>
  <si>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</si>
  <si>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</si>
  <si>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</si>
  <si>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</si>
  <si>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</si>
  <si>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</si>
  <si>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</si>
  <si>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</si>
  <si>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</si>
  <si>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</si>
  <si>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</si>
  <si>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</si>
  <si>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</si>
  <si>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</si>
  <si>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</si>
  <si>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</si>
  <si>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</si>
  <si>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</si>
  <si>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</si>
  <si>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</si>
  <si>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</si>
  <si>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</si>
  <si>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</si>
  <si>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</si>
  <si>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</si>
  <si>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</si>
  <si>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</si>
  <si>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</si>
  <si>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</si>
  <si>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</si>
  <si>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</si>
  <si>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</si>
  <si>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</si>
  <si>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</si>
  <si>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</si>
  <si>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</si>
  <si>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</si>
  <si>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</si>
  <si>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</si>
  <si>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</si>
  <si>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</si>
  <si>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</si>
  <si>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</si>
  <si>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</si>
  <si>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</si>
  <si>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</si>
  <si>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</si>
  <si>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</si>
  <si>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</si>
  <si>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</si>
  <si>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</si>
  <si>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</si>
  <si>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</si>
  <si>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</si>
  <si>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</si>
  <si>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</si>
  <si>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</si>
  <si>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</si>
  <si>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</si>
  <si>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</si>
  <si>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</si>
  <si>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</si>
  <si>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</si>
  <si>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</si>
  <si>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</si>
  <si>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</si>
  <si>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</si>
  <si>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</si>
  <si>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</si>
  <si>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</si>
  <si>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</si>
  <si>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</si>
  <si>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</si>
  <si>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</si>
  <si>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</si>
  <si>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</si>
  <si>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</si>
  <si>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</si>
  <si>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</si>
  <si>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</si>
  <si>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</si>
  <si>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</si>
  <si>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</si>
  <si>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</si>
  <si>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</si>
  <si>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</si>
  <si>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</si>
  <si>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</si>
  <si>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</si>
  <si>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</si>
  <si>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</si>
  <si>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</si>
  <si>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</si>
  <si>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</si>
  <si>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</si>
  <si>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</si>
  <si>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</si>
  <si>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</si>
  <si>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</si>
  <si>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</si>
  <si>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</si>
  <si>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</si>
  <si>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</si>
  <si>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</si>
  <si>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</si>
  <si>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</si>
  <si>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</si>
  <si>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</si>
  <si>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</si>
  <si>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</si>
  <si>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</si>
  <si>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</si>
  <si>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</si>
  <si>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</si>
  <si>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</si>
  <si>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</si>
  <si>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</si>
  <si>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</si>
  <si>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</si>
  <si>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</si>
  <si>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</si>
  <si>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</si>
  <si>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</si>
  <si>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</si>
  <si>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</si>
  <si>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</si>
  <si>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</si>
  <si>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</si>
  <si>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</si>
  <si>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</si>
  <si>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</si>
  <si>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</si>
  <si>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</si>
  <si>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</si>
  <si>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</si>
  <si>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</si>
  <si>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</si>
  <si>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</si>
  <si>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</si>
  <si>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</si>
  <si>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</si>
  <si>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</si>
  <si>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</si>
  <si>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</si>
  <si>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</si>
  <si>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</si>
  <si>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</si>
  <si>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</si>
  <si>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</si>
  <si>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</si>
  <si>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</si>
  <si>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</si>
  <si>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</si>
  <si>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</si>
  <si>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</si>
  <si>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</si>
  <si>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</si>
  <si>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</si>
  <si>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</si>
  <si>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</si>
  <si>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</si>
  <si>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</si>
  <si>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</si>
  <si>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</si>
  <si>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</si>
  <si>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</si>
  <si>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</si>
  <si>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</si>
  <si>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</si>
  <si>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</si>
  <si>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</si>
  <si>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</si>
  <si>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</si>
  <si>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</si>
  <si>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</si>
  <si>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</si>
  <si>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</si>
  <si>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</si>
  <si>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</si>
  <si>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</si>
  <si>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</si>
  <si>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</si>
  <si>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</si>
  <si>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</si>
  <si>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</si>
  <si>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</si>
  <si>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</si>
  <si>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</si>
  <si>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</si>
  <si>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</si>
  <si>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</si>
  <si>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</si>
  <si>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</si>
  <si>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</si>
  <si>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</si>
  <si>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</si>
  <si>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</si>
  <si>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</si>
  <si>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</si>
  <si>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</si>
  <si>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</si>
  <si>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</si>
  <si>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</si>
  <si>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</si>
  <si>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</si>
  <si>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</si>
  <si>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</si>
  <si>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</si>
  <si>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</si>
  <si>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</si>
  <si>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</si>
  <si>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</si>
  <si>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</si>
  <si>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</si>
  <si>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</si>
  <si>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</si>
  <si>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</si>
  <si>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</si>
  <si>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</si>
  <si>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</si>
  <si>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</si>
  <si>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</si>
  <si>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</si>
  <si>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</si>
  <si>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</si>
  <si>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</si>
  <si>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</si>
  <si>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</si>
  <si>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</si>
  <si>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</si>
  <si>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</si>
  <si>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</si>
  <si>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</si>
  <si>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</si>
  <si>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</si>
  <si>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</si>
  <si>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</si>
  <si>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</si>
  <si>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</si>
  <si>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</si>
  <si>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</si>
  <si>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</si>
  <si>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</si>
  <si>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</si>
  <si>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</si>
  <si>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</si>
  <si>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</si>
  <si>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</si>
  <si>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</si>
  <si>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</si>
  <si>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</si>
  <si>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</si>
  <si>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</si>
  <si>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</si>
  <si>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</si>
  <si>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</si>
  <si>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</si>
  <si>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</si>
  <si>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</si>
  <si>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</si>
  <si>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</si>
  <si>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</si>
  <si>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</si>
  <si>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</si>
  <si>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</si>
  <si>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</si>
  <si>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</si>
  <si>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</si>
  <si>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</si>
  <si>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</si>
  <si>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</si>
  <si>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</si>
  <si>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</si>
  <si>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</si>
  <si>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</si>
  <si>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</si>
  <si>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</si>
  <si>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</si>
  <si>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</si>
  <si>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</si>
  <si>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</si>
  <si>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</si>
  <si>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</si>
  <si>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</si>
  <si>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</si>
  <si>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</si>
  <si>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</si>
  <si>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</si>
  <si>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</si>
  <si>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</si>
  <si>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</si>
  <si>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</si>
  <si>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</si>
  <si>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</si>
  <si>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</si>
  <si>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</si>
  <si>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</si>
  <si>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</si>
  <si>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</si>
  <si>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</si>
  <si>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</si>
  <si>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</si>
  <si>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</si>
  <si>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</si>
  <si>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</si>
  <si>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</si>
  <si>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</si>
  <si>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</si>
  <si>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</si>
  <si>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</si>
  <si>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</si>
  <si>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</si>
  <si>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</si>
  <si>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</si>
  <si>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</si>
  <si>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</si>
  <si>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</si>
  <si>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</si>
  <si>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</si>
  <si>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</si>
  <si>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</si>
  <si>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</si>
  <si>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</si>
  <si>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</si>
  <si>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</si>
  <si>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</si>
  <si>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</si>
  <si>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</si>
  <si>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</si>
  <si>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</si>
  <si>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</si>
  <si>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</si>
  <si>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</si>
  <si>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</si>
  <si>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</si>
  <si>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</si>
  <si>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</si>
  <si>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</si>
  <si>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</si>
  <si>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</si>
  <si>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</si>
  <si>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</si>
  <si>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</si>
  <si>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</si>
  <si>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</si>
  <si>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</si>
  <si>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</si>
  <si>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</si>
  <si>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</si>
  <si>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</si>
  <si>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</si>
  <si>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</si>
  <si>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</si>
  <si>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</si>
  <si>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</si>
  <si>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</si>
  <si>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</si>
  <si>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</si>
  <si>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</si>
  <si>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</si>
  <si>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</si>
  <si>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</si>
  <si>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</si>
  <si>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</si>
  <si>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</si>
  <si>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</si>
  <si>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</si>
  <si>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</si>
  <si>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</si>
  <si>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</si>
  <si>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</si>
  <si>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</si>
  <si>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</si>
  <si>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</si>
  <si>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</si>
  <si>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</si>
  <si>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</si>
  <si>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</si>
  <si>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</si>
  <si>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</si>
  <si>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</si>
  <si>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</si>
  <si>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</si>
  <si>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</si>
  <si>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</si>
  <si>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</si>
  <si>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</si>
  <si>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</si>
  <si>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</si>
  <si>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</si>
  <si>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</si>
  <si>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</si>
  <si>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</si>
  <si>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</si>
  <si>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</si>
  <si>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</si>
  <si>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</si>
  <si>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</si>
  <si>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</si>
  <si>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</si>
  <si>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</si>
  <si>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</si>
  <si>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</si>
  <si>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</si>
  <si>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</si>
  <si>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</si>
  <si>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</si>
  <si>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</si>
  <si>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</si>
  <si>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</si>
  <si>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</si>
  <si>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</si>
  <si>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</si>
  <si>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</si>
  <si>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</si>
  <si>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</si>
  <si>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</si>
  <si>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</si>
  <si>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</si>
  <si>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</si>
  <si>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</si>
  <si>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</si>
  <si>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</si>
  <si>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</si>
  <si>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</si>
  <si>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</si>
  <si>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</si>
  <si>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</si>
  <si>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</si>
  <si>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</si>
  <si>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</si>
  <si>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</si>
  <si>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</si>
  <si>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</si>
  <si>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</si>
  <si>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</si>
  <si>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</si>
  <si>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</si>
  <si>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</si>
  <si>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</si>
  <si>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</si>
  <si>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</si>
  <si>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</si>
  <si>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</si>
  <si>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</si>
  <si>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</si>
  <si>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</si>
  <si>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</si>
  <si>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</si>
  <si>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</si>
  <si>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</si>
  <si>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</si>
  <si>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</si>
  <si>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</si>
  <si>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</si>
  <si>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</si>
  <si>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</si>
  <si>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</si>
  <si>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</si>
  <si>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</si>
  <si>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</si>
  <si>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</si>
  <si>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</si>
  <si>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</si>
  <si>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</si>
  <si>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</si>
  <si>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</si>
  <si>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</si>
  <si>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</si>
  <si>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</si>
  <si>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</si>
  <si>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</si>
  <si>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</si>
  <si>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</si>
  <si>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</si>
  <si>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</si>
  <si>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</si>
  <si>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</si>
  <si>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</si>
  <si>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</si>
  <si>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</si>
  <si>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</si>
  <si>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</si>
  <si>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</si>
  <si>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</si>
  <si>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</si>
  <si>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</si>
  <si>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</si>
  <si>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</si>
  <si>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</si>
  <si>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</si>
  <si>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</si>
  <si>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</si>
  <si>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</si>
  <si>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</si>
  <si>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</si>
  <si>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</si>
  <si>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</si>
  <si>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</si>
  <si>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</si>
  <si>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</si>
  <si>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</si>
  <si>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</si>
  <si>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</si>
  <si>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</si>
  <si>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</si>
  <si>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</si>
  <si>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</si>
  <si>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</si>
  <si>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</si>
  <si>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</si>
  <si>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</si>
  <si>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</si>
  <si>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</si>
  <si>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</si>
  <si>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</si>
  <si>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</si>
  <si>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</si>
  <si>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</si>
  <si>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</si>
  <si>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</si>
  <si>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</si>
  <si>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</si>
  <si>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</si>
  <si>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</si>
  <si>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</si>
  <si>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</si>
  <si>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</si>
  <si>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</si>
  <si>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</si>
  <si>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</si>
  <si>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</si>
  <si>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</si>
  <si>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</si>
  <si>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</si>
  <si>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</si>
  <si>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</si>
  <si>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</si>
  <si>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</si>
  <si>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</si>
  <si>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</si>
  <si>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</si>
  <si>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</si>
  <si>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</si>
  <si>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</si>
  <si>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</si>
  <si>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</si>
  <si>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</si>
  <si>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</si>
  <si>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</si>
  <si>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</si>
  <si>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</si>
  <si>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</si>
  <si>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</si>
  <si>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</si>
  <si>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</si>
  <si>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</si>
  <si>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</si>
  <si>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</si>
  <si>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</si>
  <si>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</si>
  <si>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</si>
  <si>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</si>
  <si>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</si>
  <si>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</si>
  <si>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</si>
  <si>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</si>
  <si>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</si>
  <si>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</si>
  <si>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</si>
  <si>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</si>
  <si>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</si>
  <si>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</si>
  <si>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</si>
  <si>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</si>
  <si>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</si>
  <si>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</si>
  <si>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</si>
  <si>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</si>
  <si>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</si>
  <si>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</si>
  <si>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</si>
  <si>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</si>
  <si>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</si>
  <si>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</si>
  <si>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</si>
  <si>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</si>
  <si>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</si>
  <si>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</si>
  <si>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</si>
  <si>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</si>
  <si>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</si>
  <si>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</si>
  <si>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</si>
  <si>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</si>
  <si>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</si>
  <si>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</si>
  <si>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</si>
  <si>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</si>
  <si>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</si>
  <si>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</si>
  <si>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</si>
  <si>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</si>
  <si>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</si>
  <si>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</si>
  <si>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</si>
  <si>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</si>
  <si>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</si>
  <si>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</si>
  <si>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</si>
  <si>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</si>
  <si>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</si>
  <si>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</si>
  <si>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</si>
  <si>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</si>
  <si>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</si>
  <si>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</si>
  <si>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</si>
  <si>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</si>
  <si>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</si>
  <si>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</si>
  <si>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</si>
  <si>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</si>
  <si>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</si>
  <si>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</si>
  <si>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</si>
  <si>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</si>
  <si>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</si>
  <si>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</si>
  <si>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</si>
  <si>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</si>
  <si>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</si>
  <si>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</si>
  <si>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</si>
  <si>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</si>
  <si>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</si>
  <si>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</si>
  <si>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</si>
  <si>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</si>
  <si>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</si>
  <si>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</si>
  <si>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</si>
  <si>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</si>
  <si>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</si>
  <si>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</si>
  <si>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</si>
  <si>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</si>
  <si>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</si>
  <si>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</si>
  <si>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</si>
  <si>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</si>
  <si>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</si>
  <si>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</si>
  <si>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</si>
  <si>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</si>
  <si>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</si>
  <si>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</si>
  <si>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</si>
  <si>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</si>
  <si>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</si>
  <si>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</si>
  <si>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</si>
  <si>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</si>
  <si>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</si>
  <si>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</si>
  <si>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</si>
  <si>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</si>
  <si>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</si>
  <si>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</si>
  <si>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</si>
  <si>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</si>
  <si>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</si>
  <si>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</si>
  <si>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</si>
  <si>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</si>
  <si>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</si>
  <si>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</si>
  <si>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</si>
  <si>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</si>
  <si>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</si>
  <si>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</si>
  <si>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</si>
  <si>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</si>
  <si>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</si>
  <si>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</si>
  <si>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</si>
  <si>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</si>
  <si>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</si>
  <si>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</si>
  <si>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</si>
  <si>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</si>
  <si>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</si>
  <si>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</si>
  <si>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</si>
  <si>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</si>
  <si>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</si>
  <si>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</si>
  <si>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</si>
  <si>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</si>
  <si>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</si>
  <si>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</si>
  <si>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</si>
  <si>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</si>
  <si>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</si>
  <si>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</si>
  <si>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</si>
  <si>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</si>
  <si>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</si>
  <si>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</si>
  <si>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</si>
  <si>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</si>
  <si>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</si>
  <si>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</si>
  <si>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</si>
  <si>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</si>
  <si>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</si>
  <si>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</si>
  <si>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</si>
  <si>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</si>
  <si>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</si>
  <si>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</si>
  <si>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</si>
  <si>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</si>
  <si>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</si>
  <si>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</si>
  <si>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</si>
  <si>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</si>
  <si>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</si>
  <si>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</si>
  <si>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</si>
  <si>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</si>
  <si>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</si>
  <si>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</si>
  <si>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</si>
  <si>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</si>
  <si>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</si>
  <si>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</si>
  <si>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</si>
  <si>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</si>
  <si>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</si>
  <si>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</si>
  <si>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</si>
  <si>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</si>
  <si>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</si>
  <si>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</si>
  <si>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</si>
  <si>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</si>
  <si>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</si>
  <si>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</si>
  <si>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</si>
  <si>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</si>
  <si>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</si>
  <si>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</si>
  <si>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</si>
  <si>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</si>
  <si>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</si>
  <si>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</si>
  <si>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</si>
  <si>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</si>
  <si>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</si>
  <si>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</si>
  <si>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</si>
  <si>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</si>
  <si>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</si>
  <si>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</si>
  <si>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</si>
  <si>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</si>
  <si>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</si>
  <si>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</si>
  <si>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</si>
  <si>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</si>
  <si>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</si>
  <si>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</si>
  <si>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</si>
  <si>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</si>
  <si>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</si>
  <si>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</si>
  <si>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</si>
  <si>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</si>
  <si>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</si>
  <si>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</si>
  <si>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</si>
  <si>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</si>
  <si>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</si>
  <si>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</si>
  <si>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</si>
  <si>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</si>
  <si>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</si>
  <si>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</si>
  <si>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</si>
  <si>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</si>
  <si>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</si>
  <si>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</si>
  <si>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</si>
  <si>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</si>
  <si>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</si>
  <si>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</si>
  <si>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</si>
  <si>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</si>
  <si>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</si>
  <si>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</si>
  <si>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</si>
  <si>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</si>
  <si>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</si>
  <si>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</si>
  <si>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</si>
  <si>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</si>
  <si>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</si>
  <si>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</si>
  <si>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</si>
  <si>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</si>
  <si>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</si>
  <si>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</si>
  <si>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</si>
  <si>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</si>
  <si>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</si>
  <si>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</si>
  <si>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</si>
  <si>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</si>
  <si>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</si>
  <si>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</si>
  <si>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</si>
  <si>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</si>
  <si>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</si>
  <si>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</si>
  <si>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</si>
  <si>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</si>
  <si>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</si>
  <si>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</si>
  <si>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</si>
  <si>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</si>
  <si>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</si>
  <si>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</si>
  <si>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</si>
  <si>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</si>
  <si>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</si>
  <si>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</si>
  <si>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</si>
  <si>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</si>
  <si>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</si>
  <si>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</si>
  <si>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</si>
  <si>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</si>
  <si>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</si>
  <si>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</si>
  <si>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</si>
  <si>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</si>
  <si>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</si>
  <si>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</si>
  <si>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</si>
  <si>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</si>
  <si>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</si>
  <si>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</si>
  <si>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</si>
  <si>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</si>
  <si>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</si>
  <si>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</si>
  <si>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</si>
  <si>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</si>
  <si>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</si>
  <si>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</si>
  <si>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</si>
  <si>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</si>
  <si>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</si>
  <si>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</si>
  <si>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</si>
  <si>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</si>
  <si>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</si>
  <si>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</si>
  <si>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</si>
  <si>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</si>
  <si>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</si>
  <si>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</si>
  <si>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</si>
  <si>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</si>
  <si>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</si>
  <si>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</si>
  <si>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</si>
  <si>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</si>
  <si>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</si>
  <si>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</si>
  <si>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</si>
  <si>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</si>
  <si>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</si>
  <si>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</si>
  <si>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</si>
  <si>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</si>
  <si>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</si>
  <si>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</si>
  <si>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</si>
  <si>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</si>
  <si>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</si>
  <si>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</si>
  <si>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</si>
  <si>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</si>
  <si>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</si>
  <si>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</si>
  <si>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</si>
  <si>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</si>
  <si>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</si>
  <si>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</si>
  <si>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</si>
  <si>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</si>
  <si>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</si>
  <si>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</si>
  <si>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</si>
  <si>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</si>
  <si>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</si>
  <si>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</si>
  <si>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</si>
  <si>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</si>
  <si>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</si>
  <si>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</si>
  <si>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</si>
  <si>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</si>
  <si>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</si>
  <si>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</si>
  <si>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</si>
  <si>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</si>
  <si>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</si>
  <si>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</si>
  <si>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</si>
  <si>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</si>
  <si>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</si>
  <si>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</si>
  <si>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</si>
  <si>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</si>
  <si>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</si>
  <si>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</si>
  <si>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</si>
  <si>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</si>
  <si>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</si>
  <si>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</si>
  <si>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</si>
  <si>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</si>
  <si>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</si>
  <si>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</si>
  <si>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</si>
  <si>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</si>
  <si>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</si>
  <si>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</si>
  <si>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</si>
  <si>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</si>
  <si>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</si>
  <si>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</si>
  <si>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</si>
  <si>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</si>
  <si>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</si>
  <si>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</si>
  <si>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</si>
  <si>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</si>
  <si>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</si>
  <si>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</si>
  <si>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</si>
  <si>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</si>
  <si>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</si>
  <si>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</si>
  <si>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</si>
  <si>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</si>
  <si>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</si>
  <si>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</si>
  <si>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</si>
  <si>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</si>
  <si>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</si>
  <si>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</si>
  <si>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</si>
  <si>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</si>
  <si>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</si>
  <si>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</si>
  <si>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</si>
  <si>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</si>
  <si>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</si>
  <si>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</si>
  <si>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</si>
  <si>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</si>
  <si>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</si>
  <si>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</si>
  <si>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</si>
  <si>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</si>
  <si>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</si>
  <si>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</si>
  <si>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</si>
  <si>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</si>
  <si>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</si>
  <si>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</si>
  <si>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</si>
  <si>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</si>
  <si>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</si>
  <si>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</si>
  <si>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</si>
  <si>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</si>
  <si>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</si>
  <si>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</si>
  <si>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</si>
  <si>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</si>
  <si>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</si>
  <si>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</si>
  <si>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</si>
  <si>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</si>
  <si>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</si>
  <si>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</si>
  <si>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</si>
  <si>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</si>
  <si>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</si>
  <si>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</si>
  <si>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</si>
  <si>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</si>
  <si>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</si>
  <si>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</si>
  <si>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</si>
  <si>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</si>
  <si>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</si>
  <si>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</si>
  <si>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</si>
  <si>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</si>
  <si>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</si>
  <si>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</si>
  <si>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</si>
  <si>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</si>
  <si>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</si>
  <si>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</si>
  <si>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</si>
  <si>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</si>
  <si>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</si>
  <si>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</si>
  <si>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</si>
  <si>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</si>
  <si>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</si>
  <si>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</si>
  <si>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</si>
  <si>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</si>
  <si>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</si>
  <si>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</si>
  <si>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</si>
  <si>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</si>
  <si>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</si>
  <si>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</si>
  <si>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</si>
  <si>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</si>
  <si>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</si>
  <si>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</si>
  <si>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</si>
  <si>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</si>
  <si>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</si>
  <si>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</si>
  <si>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</si>
  <si>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</si>
  <si>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</si>
  <si>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</si>
  <si>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</si>
  <si>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</si>
  <si>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</si>
  <si>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</si>
  <si>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</si>
  <si>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</si>
  <si>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</si>
  <si>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</si>
  <si>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</si>
  <si>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</si>
  <si>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</si>
  <si>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</si>
  <si>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</si>
  <si>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</si>
  <si>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</si>
  <si>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</si>
  <si>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</si>
  <si>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</si>
  <si>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</si>
  <si>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</si>
  <si>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</si>
  <si>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</si>
  <si>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</si>
  <si>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</si>
  <si>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</si>
  <si>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</si>
  <si>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</si>
  <si>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</si>
  <si>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</si>
  <si>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</si>
  <si>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</si>
  <si>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</si>
  <si>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</si>
  <si>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</si>
  <si>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</si>
  <si>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</si>
  <si>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</si>
  <si>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</si>
  <si>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</si>
  <si>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</si>
  <si>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</si>
  <si>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</si>
  <si>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</si>
  <si>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</si>
  <si>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</si>
  <si>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</si>
  <si>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</si>
  <si>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</si>
  <si>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</si>
  <si>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</si>
  <si>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</si>
  <si>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</si>
  <si>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</si>
  <si>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</si>
  <si>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</si>
  <si>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</si>
  <si>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</si>
  <si>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</si>
  <si>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</si>
  <si>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</si>
  <si>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</si>
  <si>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</si>
  <si>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</si>
  <si>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</si>
  <si>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</si>
  <si>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</si>
  <si>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</si>
  <si>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</si>
  <si>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</si>
  <si>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</si>
  <si>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</si>
  <si>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</si>
  <si>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</si>
  <si>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</si>
  <si>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</si>
  <si>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</si>
  <si>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</si>
  <si>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</si>
  <si>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</si>
  <si>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</si>
  <si>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</si>
  <si>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</si>
  <si>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</si>
  <si>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</si>
  <si>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</si>
  <si>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</si>
  <si>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</si>
  <si>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</si>
  <si>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</si>
  <si>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</si>
  <si>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</si>
  <si>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</si>
  <si>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</si>
  <si>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</si>
  <si>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</si>
  <si>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</si>
  <si>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</si>
  <si>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</si>
  <si>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</si>
  <si>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</si>
  <si>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</si>
  <si>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</si>
  <si>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</si>
  <si>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</si>
  <si>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</si>
  <si>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</si>
  <si>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</si>
  <si>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</si>
  <si>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</si>
  <si>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</si>
  <si>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</si>
  <si>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</si>
  <si>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</si>
  <si>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</si>
  <si>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</si>
  <si>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</si>
  <si>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</si>
  <si>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</si>
  <si>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</si>
  <si>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</si>
  <si>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</si>
  <si>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</si>
  <si>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</si>
  <si>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</si>
  <si>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</si>
  <si>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</si>
  <si>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</si>
  <si>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</si>
  <si>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</si>
  <si>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</si>
  <si>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</si>
  <si>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</si>
  <si>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</si>
  <si>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</si>
  <si>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</si>
  <si>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</si>
  <si>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</si>
  <si>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</si>
  <si>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</si>
  <si>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</si>
  <si>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</si>
  <si>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</si>
  <si>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</si>
  <si>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</si>
  <si>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</si>
  <si>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</si>
  <si>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</si>
  <si>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</si>
  <si>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</si>
  <si>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</si>
  <si>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</si>
  <si>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</si>
  <si>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</si>
  <si>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</si>
  <si>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</si>
  <si>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</si>
  <si>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</si>
  <si>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</si>
  <si>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</si>
  <si>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</si>
  <si>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</si>
  <si>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</si>
  <si>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</si>
  <si>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</si>
  <si>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</si>
  <si>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</si>
  <si>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</si>
  <si>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</si>
  <si>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</si>
  <si>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</si>
  <si>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</si>
  <si>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</si>
  <si>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</si>
  <si>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</si>
  <si>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</si>
  <si>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</si>
  <si>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</si>
  <si>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</si>
  <si>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</si>
  <si>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</si>
  <si>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</si>
  <si>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</si>
  <si>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</si>
  <si>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</si>
  <si>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</si>
  <si>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</si>
  <si>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</si>
  <si>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</si>
  <si>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</si>
  <si>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</si>
  <si>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</si>
  <si>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</si>
  <si>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</si>
  <si>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</si>
  <si>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</si>
  <si>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</si>
  <si>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</si>
  <si>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</si>
  <si>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</si>
  <si>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</si>
  <si>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</si>
  <si>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</si>
  <si>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</si>
  <si>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</si>
  <si>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</si>
  <si>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</si>
  <si>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</si>
  <si>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</si>
  <si>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</si>
  <si>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</si>
  <si>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</si>
  <si>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</si>
  <si>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</si>
  <si>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</si>
  <si>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</si>
  <si>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</si>
  <si>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</si>
  <si>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</si>
  <si>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</si>
  <si>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</si>
  <si>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</si>
  <si>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</si>
  <si>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</si>
  <si>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</si>
  <si>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</si>
  <si>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</si>
  <si>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</si>
  <si>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</si>
  <si>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</si>
  <si>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</si>
  <si>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</si>
  <si>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</si>
  <si>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</si>
  <si>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</si>
  <si>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</si>
  <si>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</si>
  <si>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</si>
  <si>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</si>
  <si>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</si>
  <si>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</si>
  <si>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</si>
  <si>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</si>
  <si>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</si>
  <si>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</si>
  <si>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</si>
  <si>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</si>
  <si>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</si>
  <si>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</si>
  <si>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</si>
  <si>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</si>
  <si>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</si>
  <si>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</si>
  <si>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</si>
  <si>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</si>
  <si>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</si>
  <si>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</si>
  <si>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</si>
  <si>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</si>
  <si>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</si>
  <si>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</si>
  <si>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</si>
  <si>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</si>
  <si>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</si>
  <si>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</si>
  <si>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</si>
  <si>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</si>
  <si>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</si>
  <si>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</si>
  <si>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</si>
  <si>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</si>
  <si>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</si>
  <si>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</si>
  <si>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</si>
  <si>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</si>
  <si>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</si>
  <si>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</si>
  <si>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</si>
  <si>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</si>
  <si>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</si>
  <si>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</si>
  <si>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</si>
  <si>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</si>
  <si>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</si>
  <si>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</si>
  <si>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</si>
  <si>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</si>
  <si>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</si>
  <si>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</si>
  <si>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</si>
  <si>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</si>
  <si>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</si>
  <si>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</si>
  <si>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</si>
  <si>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</si>
  <si>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</si>
  <si>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</si>
  <si>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</si>
  <si>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</si>
  <si>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</si>
  <si>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</si>
  <si>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</si>
  <si>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</si>
  <si>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</si>
  <si>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</si>
  <si>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</si>
  <si>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</si>
  <si>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</si>
  <si>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</si>
  <si>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</si>
  <si>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</si>
  <si>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</si>
  <si>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</si>
  <si>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</si>
  <si>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</si>
  <si>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</si>
  <si>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</si>
  <si>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</si>
  <si>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</si>
  <si>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</si>
  <si>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</si>
  <si>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</si>
  <si>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</si>
  <si>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</si>
  <si>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</si>
  <si>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</si>
  <si>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</si>
  <si>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</si>
  <si>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</si>
  <si>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</si>
  <si>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</si>
  <si>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</si>
  <si>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</si>
  <si>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</si>
  <si>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</si>
  <si>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</si>
  <si>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</si>
  <si>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</si>
  <si>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</si>
  <si>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</si>
  <si>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</si>
  <si>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</si>
  <si>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</si>
  <si>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</si>
  <si>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</si>
  <si>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</si>
  <si>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</si>
  <si>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</si>
  <si>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</si>
  <si>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</si>
  <si>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</si>
  <si>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</si>
  <si>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</si>
  <si>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</si>
  <si>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</si>
  <si>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</si>
  <si>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</si>
  <si>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</si>
  <si>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</si>
  <si>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</si>
  <si>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</si>
  <si>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</si>
  <si>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</si>
  <si>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</si>
  <si>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</si>
  <si>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</si>
  <si>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</si>
  <si>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</si>
  <si>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</si>
  <si>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</si>
  <si>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</si>
  <si>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</si>
  <si>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</si>
  <si>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</si>
  <si>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</si>
  <si>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</si>
  <si>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</si>
  <si>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</si>
  <si>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</si>
  <si>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</si>
  <si>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</si>
  <si>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</si>
  <si>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</si>
  <si>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</si>
  <si>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</si>
  <si>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</si>
  <si>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</si>
  <si>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</si>
  <si>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</si>
  <si>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</si>
  <si>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</si>
  <si>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</si>
  <si>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</si>
  <si>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</si>
  <si>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</si>
  <si>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</si>
  <si>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</si>
  <si>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</si>
  <si>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</si>
  <si>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</si>
  <si>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</si>
  <si>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</si>
  <si>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</si>
  <si>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</si>
  <si>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</si>
  <si>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</si>
  <si>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</si>
  <si>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</si>
  <si>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</si>
  <si>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</si>
  <si>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</si>
  <si>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</si>
  <si>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</si>
  <si>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</si>
  <si>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</si>
  <si>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</si>
  <si>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</si>
  <si>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</si>
  <si>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</si>
  <si>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</si>
  <si>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</si>
  <si>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</si>
  <si>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</si>
  <si>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</si>
  <si>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</si>
  <si>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</si>
  <si>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</si>
  <si>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</si>
  <si>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</si>
  <si>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</si>
  <si>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</si>
  <si>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</si>
  <si>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</si>
  <si>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</si>
  <si>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</si>
  <si>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</si>
  <si>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</si>
  <si>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</si>
  <si>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</si>
  <si>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</si>
  <si>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</si>
  <si>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</si>
  <si>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</si>
  <si>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</si>
  <si>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</si>
  <si>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</si>
  <si>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</si>
  <si>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</si>
  <si>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</si>
  <si>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</si>
  <si>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</si>
  <si>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</si>
  <si>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</si>
  <si>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</si>
  <si>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</si>
  <si>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</si>
  <si>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</si>
  <si>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</si>
  <si>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</si>
  <si>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</si>
  <si>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</si>
  <si>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</si>
  <si>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</si>
  <si>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</si>
  <si>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</si>
  <si>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</si>
  <si>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</si>
  <si>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商务金融用地（办公类）</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</si>
  <si>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</si>
  <si>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</si>
  <si>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</si>
  <si>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</si>
  <si>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</si>
  <si>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</si>
  <si>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</si>
  <si>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</si>
  <si>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</si>
  <si>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</si>
  <si>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</si>
  <si>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</si>
  <si>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</si>
  <si>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</si>
  <si>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</si>
  <si>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</si>
  <si>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</si>
  <si>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</si>
  <si>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</si>
  <si>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</si>
  <si>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</si>
  <si>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</si>
  <si>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</si>
  <si>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</si>
  <si>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</si>
  <si>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</si>
  <si>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</si>
  <si>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</si>
  <si>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</si>
  <si>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</si>
  <si>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</si>
  <si>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</si>
  <si>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</si>
  <si>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</si>
  <si>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</si>
  <si>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</si>
  <si>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</si>
  <si>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</si>
  <si>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</si>
  <si>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</si>
  <si>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</si>
  <si>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</si>
  <si>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</si>
  <si>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</si>
  <si>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</si>
  <si>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</si>
  <si>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</si>
  <si>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比较法-办公</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</si>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</sst>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99" fillId="0" borderId="0" xfId="0" applyNumberFormat="1" applyFon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2019年4月15日</v>
      </c>
    </row>
    <row r="13" spans="1:2" s="1594" customFormat="1">
      <c r="A13" s="1592" t="s">
        <v>1223</v>
      </c>
      <c r="B13" s="1593"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本次评估采用的主估价方法为比较法和收益法。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74484</v>
      </c>
    </row>
    <row r="21" spans="1:2" s="1594" customFormat="1">
      <c r="A21" s="1592" t="s">
        <v>1231</v>
      </c>
      <c r="B21" s="1593">
        <f ca="1">'预评函-2'!D7</f>
        <v>23417</v>
      </c>
    </row>
    <row r="22" spans="1:2" s="1594" customFormat="1">
      <c r="A22" s="1592" t="s">
        <v>1232</v>
      </c>
      <c r="B22" s="1593" t="str">
        <f ca="1">'预评函-2'!D6</f>
        <v>柒亿肆仟肆佰捌拾肆万元整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74484</v>
      </c>
    </row>
    <row r="31" spans="1:2" s="1594" customFormat="1">
      <c r="A31" s="1592" t="s">
        <v>1270</v>
      </c>
      <c r="B31" s="1593">
        <f ca="1">'预评函-2'!D15</f>
        <v>11174</v>
      </c>
    </row>
    <row r="32" spans="1:2" s="1594" customFormat="1">
      <c r="A32" s="1592" t="s">
        <v>1237</v>
      </c>
      <c r="B32" s="1593" t="str">
        <f ca="1">'预评函-2'!D14</f>
        <v>柒亿肆仟肆佰捌拾肆万元整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t="e">
        <f ca="1">'预评函-3'!D4</f>
        <v>#REF!</v>
      </c>
    </row>
    <row r="48" spans="1:2" s="1594" customFormat="1">
      <c r="A48" s="1592" t="s">
        <v>1243</v>
      </c>
      <c r="B48" s="1593" t="e">
        <f ca="1">'预评函-3'!E4</f>
        <v>#REF!</v>
      </c>
    </row>
    <row r="49" spans="1:2" s="1594" customFormat="1">
      <c r="A49" s="1592" t="s">
        <v>1244</v>
      </c>
      <c r="B49" s="1593" t="e">
        <f ca="1">'预评函-3'!D5</f>
        <v>#REF!</v>
      </c>
    </row>
    <row r="50" spans="1:2" s="1594" customFormat="1">
      <c r="A50" s="1592" t="s">
        <v>1268</v>
      </c>
      <c r="B50" s="1593" t="str">
        <f>'预评函-3'!F2</f>
        <v>在建建筑物价值</v>
      </c>
    </row>
    <row r="51" spans="1:2" s="1594" customFormat="1">
      <c r="A51" s="1592" t="s">
        <v>1245</v>
      </c>
      <c r="B51" s="1593" t="e">
        <f ca="1">'预评函-3'!F4</f>
        <v>#REF!</v>
      </c>
    </row>
    <row r="52" spans="1:2" s="1594" customFormat="1">
      <c r="A52" s="1592" t="s">
        <v>1246</v>
      </c>
      <c r="B52" s="1593" t="e">
        <f ca="1">'预评函-3'!G4</f>
        <v>#REF!</v>
      </c>
    </row>
    <row r="53" spans="1:2" s="1594" customFormat="1">
      <c r="A53" s="1592" t="s">
        <v>1274</v>
      </c>
      <c r="B53" s="1593" t="e">
        <f ca="1">'预评函-3'!F5</f>
        <v>#REF!</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3157</v>
      </c>
      <c r="C18" s="2013"/>
    </row>
    <row r="19" spans="1:3">
      <c r="A19" s="2012" t="s">
        <v>1764</v>
      </c>
      <c r="B19" s="2012" t="s">
        <v>3312</v>
      </c>
      <c r="C19" s="2013"/>
    </row>
    <row r="20" spans="1:3">
      <c r="A20" s="2012" t="s">
        <v>1765</v>
      </c>
      <c r="B20" s="2012" t="s">
        <v>3317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8"/>
      <c r="B54" s="2020" t="s">
        <v>861</v>
      </c>
      <c r="C54" s="2017" t="s">
        <v>1277</v>
      </c>
    </row>
    <row r="55" spans="1:4">
      <c r="A55" s="3078"/>
      <c r="B55" s="2020" t="s">
        <v>862</v>
      </c>
      <c r="C55" s="2017" t="s">
        <v>1278</v>
      </c>
    </row>
    <row r="56" spans="1:4">
      <c r="A56" s="3078"/>
      <c r="B56" s="2020" t="s">
        <v>863</v>
      </c>
      <c r="C56" s="2017" t="s">
        <v>1282</v>
      </c>
    </row>
    <row r="57" spans="1:4">
      <c r="A57" s="307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4" sqref="G24"/>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79" t="str">
        <f>IF(B10="北京市","北京市",C10)&amp;F10&amp;IF(结果表!G1="在建","出让国有建设用地使用权及在建建筑物",IF(结果表!G1="土地","出让国有建设用地使用权",))&amp;B9&amp;"预评估"</f>
        <v>北京市房地产市场价值预评估</v>
      </c>
      <c r="C1" s="3080"/>
      <c r="D1" s="3080"/>
      <c r="E1" s="3080"/>
      <c r="F1" s="3080"/>
      <c r="G1" s="3080"/>
      <c r="H1" s="3080"/>
      <c r="I1" s="308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43570</v>
      </c>
      <c r="E3" s="2024"/>
      <c r="F3" s="2024"/>
      <c r="G3" s="2024"/>
      <c r="H3" s="2024"/>
      <c r="I3" s="2024"/>
      <c r="J3" s="2024"/>
      <c r="K3" s="2025"/>
      <c r="L3" s="2026"/>
      <c r="M3" s="2026"/>
      <c r="N3" s="2027"/>
      <c r="O3" s="2028"/>
      <c r="P3" s="2027"/>
      <c r="Q3" s="2027"/>
      <c r="R3" s="2027"/>
      <c r="S3" s="2029"/>
    </row>
    <row r="4" spans="1:19" ht="18" customHeight="1" thickBot="1">
      <c r="A4" s="2036" t="s">
        <v>1776</v>
      </c>
      <c r="B4" s="2037" t="s">
        <v>3150</v>
      </c>
      <c r="C4" s="1038">
        <f ca="1">SUMIF(注册房地产估价师,B4,估价师及机构信息!B3:B24)</f>
        <v>1419970001</v>
      </c>
      <c r="D4" s="2037" t="s">
        <v>3151</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82"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83"/>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34.67</v>
      </c>
      <c r="F15" s="1050">
        <f>IF(B12="出让",IF(F13="","",ROUNDDOWN(MIN((F13-$D$3)/365,F14),2)),F14)</f>
        <v>44.68</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89"/>
      <c r="C16" s="3090"/>
      <c r="D16" s="3091"/>
      <c r="E16" s="2084" t="s">
        <v>1798</v>
      </c>
      <c r="F16" s="3092"/>
      <c r="G16" s="3093"/>
      <c r="H16" s="3093"/>
      <c r="I16" s="3094"/>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095" t="s">
        <v>1802</v>
      </c>
      <c r="F17" s="3096"/>
      <c r="G17" s="3096"/>
      <c r="H17" s="3096"/>
      <c r="I17" s="3097"/>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098" t="s">
        <v>1805</v>
      </c>
      <c r="F18" s="3099"/>
      <c r="G18" s="3099"/>
      <c r="H18" s="3099"/>
      <c r="I18" s="3100"/>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85" t="s">
        <v>1810</v>
      </c>
      <c r="C20" s="3086"/>
      <c r="D20" s="3087" t="s">
        <v>1811</v>
      </c>
      <c r="E20" s="3088"/>
      <c r="F20" s="2096" t="s">
        <v>1812</v>
      </c>
      <c r="G20" s="2040"/>
      <c r="H20" s="2040"/>
      <c r="I20" s="2040"/>
      <c r="J20" s="2040"/>
      <c r="K20" s="3084"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8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8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02"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02"/>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02"/>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03"/>
      <c r="B30" s="2033" t="s">
        <v>1829</v>
      </c>
      <c r="C30" s="3104"/>
      <c r="D30" s="310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06"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0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0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3083</v>
      </c>
      <c r="C34" s="2132" t="s">
        <v>3084</v>
      </c>
      <c r="D34" s="2132" t="s">
        <v>3085</v>
      </c>
      <c r="E34" s="2132" t="s">
        <v>3086</v>
      </c>
      <c r="F34" s="2132" t="s">
        <v>3087</v>
      </c>
      <c r="G34" s="2132" t="s">
        <v>3088</v>
      </c>
      <c r="H34" s="2132" t="s">
        <v>3089</v>
      </c>
      <c r="I34" s="2040"/>
      <c r="J34" s="2040"/>
      <c r="K34" s="1793">
        <f>COUNTIF(B34:H34,"——")</f>
        <v>0</v>
      </c>
      <c r="L34" s="2073" t="s">
        <v>1832</v>
      </c>
      <c r="M34" s="2073" t="s">
        <v>1833</v>
      </c>
      <c r="N34" s="2073" t="s">
        <v>1834</v>
      </c>
      <c r="O34" s="2073" t="s">
        <v>1835</v>
      </c>
      <c r="P34" s="2073" t="s">
        <v>1836</v>
      </c>
      <c r="Q34" s="2073" t="s">
        <v>1837</v>
      </c>
      <c r="R34" s="2073" t="s">
        <v>1838</v>
      </c>
      <c r="S34" s="3101" t="s">
        <v>1839</v>
      </c>
      <c r="T34" s="2133" t="str">
        <f>NUMBERSTRING(7-K34,1)&amp;"通"</f>
        <v>七通</v>
      </c>
      <c r="U34" s="2027"/>
      <c r="V34" s="2027"/>
    </row>
    <row r="35" spans="1:22" ht="18" customHeight="1">
      <c r="A35" s="2134"/>
      <c r="B35" s="3108" t="s">
        <v>1840</v>
      </c>
      <c r="C35" s="3108"/>
      <c r="D35" s="3108"/>
      <c r="E35" s="3108"/>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1"/>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3308</v>
      </c>
      <c r="D15" s="2212" t="s">
        <v>3309</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9" t="s">
        <v>0</v>
      </c>
      <c r="B1" s="3109" t="s">
        <v>4</v>
      </c>
      <c r="C1" s="3109" t="s">
        <v>5</v>
      </c>
      <c r="D1" s="3110" t="s">
        <v>53</v>
      </c>
      <c r="E1" s="3110" t="s">
        <v>54</v>
      </c>
      <c r="F1" s="3110"/>
      <c r="G1" s="3110"/>
      <c r="H1" s="3110"/>
      <c r="I1" s="3110"/>
      <c r="J1" s="3110"/>
      <c r="K1" s="3110"/>
      <c r="L1" s="3110"/>
      <c r="M1" s="3110"/>
    </row>
    <row r="2" spans="1:13" ht="27" customHeight="1">
      <c r="A2" s="3109"/>
      <c r="B2" s="3109"/>
      <c r="C2" s="3109"/>
      <c r="D2" s="3110"/>
      <c r="E2" s="3110" t="s">
        <v>37</v>
      </c>
      <c r="F2" s="3110" t="s">
        <v>38</v>
      </c>
      <c r="G2" s="3110"/>
      <c r="H2" s="3110"/>
      <c r="I2" s="3110"/>
      <c r="J2" s="3110" t="s">
        <v>39</v>
      </c>
      <c r="K2" s="3110"/>
      <c r="L2" s="3110"/>
      <c r="M2" s="3110"/>
    </row>
    <row r="3" spans="1:13" ht="28.5">
      <c r="A3" s="3109"/>
      <c r="B3" s="3109"/>
      <c r="C3" s="3109"/>
      <c r="D3" s="3110"/>
      <c r="E3" s="31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0" t="s">
        <v>55</v>
      </c>
      <c r="B9" s="3110"/>
      <c r="C9" s="31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0" t="s">
        <v>1936</v>
      </c>
      <c r="B2" s="3120"/>
      <c r="C2" s="3120"/>
      <c r="D2" s="968" t="s">
        <v>1912</v>
      </c>
      <c r="E2" s="2226" t="s">
        <v>1913</v>
      </c>
      <c r="F2" s="1393"/>
      <c r="G2" s="2227"/>
      <c r="H2" s="2228"/>
      <c r="I2" s="2229" t="s">
        <v>1937</v>
      </c>
      <c r="J2" s="1393"/>
      <c r="K2" s="1393"/>
      <c r="L2" s="1393"/>
      <c r="M2" s="1393"/>
      <c r="N2" s="1428"/>
      <c r="O2" s="1393"/>
      <c r="P2" s="1393"/>
    </row>
    <row r="3" spans="1:16" ht="15.75" thickBot="1">
      <c r="A3" s="3121" t="s">
        <v>1910</v>
      </c>
      <c r="B3" s="3121"/>
      <c r="C3" s="3121"/>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2"/>
      <c r="B4" s="3123"/>
      <c r="C4" s="3124"/>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5" t="s">
        <v>1915</v>
      </c>
      <c r="C5" s="3125"/>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5" t="s">
        <v>1916</v>
      </c>
      <c r="C6" s="3125"/>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17"/>
      <c r="B7" s="3118"/>
      <c r="C7" s="3119"/>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4" t="s">
        <v>1940</v>
      </c>
      <c r="L16" s="3115"/>
      <c r="M16" s="3115"/>
      <c r="N16" s="3115"/>
      <c r="O16" s="3115"/>
      <c r="P16" s="3116"/>
    </row>
    <row r="17" spans="1:19" ht="15">
      <c r="A17" s="2241" t="s">
        <v>1941</v>
      </c>
      <c r="B17" s="2242" t="s">
        <v>1942</v>
      </c>
      <c r="C17" s="2243" t="s">
        <v>1943</v>
      </c>
      <c r="D17" s="2244" t="s">
        <v>1931</v>
      </c>
      <c r="E17" s="2245" t="s">
        <v>1932</v>
      </c>
      <c r="F17" s="2246"/>
      <c r="G17" s="2247"/>
      <c r="H17" s="2248" t="s">
        <v>1944</v>
      </c>
      <c r="I17" s="2249" t="s">
        <v>1929</v>
      </c>
      <c r="J17" s="1393"/>
      <c r="K17" s="3111" t="s">
        <v>1945</v>
      </c>
      <c r="L17" s="3112"/>
      <c r="M17" s="3113"/>
      <c r="N17" s="3111" t="s">
        <v>1946</v>
      </c>
      <c r="O17" s="3112"/>
      <c r="P17" s="3113"/>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48">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3310</v>
      </c>
      <c r="D21" s="48">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33" sqref="T3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43570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34.67</v>
      </c>
      <c r="G6" s="73">
        <f>IF(ISERROR(ROUND(POWER(1+H6,D6-F6)*(POWER(1+H6,F6)-1)/(POWER(1+H6,D6)-1),3)),0,ROUND(POWER(1+H6,D6-F6)*(POWER(1+H6,F6)-1)/(POWER(1+H6,D6)-1),3))</f>
        <v>0.95099999999999996</v>
      </c>
      <c r="H6" s="800">
        <v>0.05</v>
      </c>
      <c r="I6" s="800">
        <v>5.5E-2</v>
      </c>
      <c r="J6" s="74">
        <v>0.08</v>
      </c>
      <c r="K6" s="1252">
        <f>SUMIF('数据-汇总表'!C$19:C$33,A6,'数据-汇总表'!E$19:E$33)</f>
        <v>18643.309999999998</v>
      </c>
      <c r="L6" s="801">
        <v>2800</v>
      </c>
      <c r="M6" s="75">
        <f t="shared" ref="M6:M14" si="0">ROUND(K6*L6/10000,0)</f>
        <v>5220</v>
      </c>
      <c r="N6" s="799">
        <v>1</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v>1</v>
      </c>
      <c r="Z6" s="81"/>
      <c r="AA6" s="74"/>
      <c r="AB6" s="74"/>
      <c r="AC6" s="1262"/>
      <c r="AD6" s="82"/>
      <c r="AE6" s="1263">
        <f ca="1">IF(AN6="",0,SUMIF(INDIRECT("'"&amp;AN6&amp;"'"&amp;"!E:E"),$AE$5,INDIRECT("'"&amp;AN6&amp;"'"&amp;"!F:F")))</f>
        <v>34.67</v>
      </c>
      <c r="AF6" s="1802"/>
      <c r="AG6" s="147">
        <f>IF(AF6="",0,AE6-AF6)</f>
        <v>0</v>
      </c>
      <c r="AH6" s="83"/>
      <c r="AI6" s="85">
        <v>365</v>
      </c>
      <c r="AJ6" s="86"/>
      <c r="AK6" s="87">
        <v>1.4999999999999999E-2</v>
      </c>
      <c r="AL6" s="88">
        <v>1.5E-3</v>
      </c>
      <c r="AM6" s="89">
        <v>0.02</v>
      </c>
      <c r="AN6" s="2307" t="s">
        <v>3069</v>
      </c>
      <c r="AO6" s="55">
        <f ca="1">SUMIF(INDIRECT("'"&amp;AN6&amp;"'"&amp;"!A:A"),"总价",INDIRECT("'"&amp;AN6&amp;"'"&amp;"!B:B"))</f>
        <v>41882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44.68</v>
      </c>
      <c r="G7" s="73">
        <f t="shared" ref="G7:G11" si="2">IF(ISERROR(ROUND(POWER(1+H7,D7-F7)*(POWER(1+H7,F7)-1)/(POWER(1+H7,D7)-1),3)),0,ROUND(POWER(1+H7,D7-F7)*(POWER(1+H7,F7)-1)/(POWER(1+H7,D7)-1),3))</f>
        <v>0.96699999999999997</v>
      </c>
      <c r="H7" s="800">
        <v>4.4999999999999998E-2</v>
      </c>
      <c r="I7" s="800">
        <v>0.05</v>
      </c>
      <c r="J7" s="74">
        <v>0.08</v>
      </c>
      <c r="K7" s="1252">
        <f>SUMIF('数据-汇总表'!C$19:C$33,A7,'数据-汇总表'!E$19:E$33)</f>
        <v>31807.97</v>
      </c>
      <c r="L7" s="801">
        <v>2800</v>
      </c>
      <c r="M7" s="75">
        <f t="shared" si="0"/>
        <v>8906</v>
      </c>
      <c r="N7" s="799">
        <v>1</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0.03</v>
      </c>
      <c r="W7" s="79">
        <v>0.1</v>
      </c>
      <c r="X7" s="1262"/>
      <c r="Y7" s="80">
        <v>1</v>
      </c>
      <c r="Z7" s="81"/>
      <c r="AA7" s="74"/>
      <c r="AB7" s="74"/>
      <c r="AC7" s="1262"/>
      <c r="AD7" s="82"/>
      <c r="AE7" s="1263">
        <f t="shared" ref="AE7:AE13" ca="1" si="6">IF(AN7="",0,SUMIF(INDIRECT("'"&amp;AN7&amp;"'"&amp;"!E:E"),$AE$5,INDIRECT("'"&amp;AN7&amp;"'"&amp;"!F:F")))</f>
        <v>44.68</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66616</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44.68</v>
      </c>
      <c r="G8" s="73">
        <f t="shared" si="2"/>
        <v>0.96199999999999997</v>
      </c>
      <c r="H8" s="800">
        <v>0.04</v>
      </c>
      <c r="I8" s="800">
        <v>4.4999999999999998E-2</v>
      </c>
      <c r="J8" s="74">
        <v>0.08</v>
      </c>
      <c r="K8" s="1252">
        <f>SUMIF('数据-汇总表'!C$19:C$33,A8,'数据-汇总表'!E$19:E$33)</f>
        <v>16206.23</v>
      </c>
      <c r="L8" s="801">
        <v>2800</v>
      </c>
      <c r="M8" s="75">
        <f>ROUND(K8*L8/10000,0)</f>
        <v>4538</v>
      </c>
      <c r="N8" s="799">
        <v>1</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3</v>
      </c>
      <c r="V8" s="804">
        <v>2.5000000000000001E-2</v>
      </c>
      <c r="W8" s="804">
        <v>0.1</v>
      </c>
      <c r="X8" s="1262"/>
      <c r="Y8" s="805">
        <v>1</v>
      </c>
      <c r="Z8" s="81"/>
      <c r="AA8" s="74"/>
      <c r="AB8" s="74"/>
      <c r="AC8" s="1262"/>
      <c r="AD8" s="82"/>
      <c r="AE8" s="1263">
        <f t="shared" ca="1" si="6"/>
        <v>44.68</v>
      </c>
      <c r="AF8" s="1802"/>
      <c r="AG8" s="147">
        <f t="shared" si="7"/>
        <v>0</v>
      </c>
      <c r="AH8" s="806"/>
      <c r="AI8" s="85">
        <v>365</v>
      </c>
      <c r="AJ8" s="86"/>
      <c r="AK8" s="807">
        <v>1.4999999999999999E-2</v>
      </c>
      <c r="AL8" s="808">
        <v>1.5E-3</v>
      </c>
      <c r="AM8" s="809">
        <v>0.02</v>
      </c>
      <c r="AN8" s="2307" t="s">
        <v>3311</v>
      </c>
      <c r="AO8" s="55">
        <f t="shared" ca="1" si="8"/>
        <v>34018</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0.96099999999999997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1</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3152</v>
      </c>
      <c r="M21" s="2993" t="s">
        <v>3153</v>
      </c>
      <c r="N21" s="2993" t="s">
        <v>3154</v>
      </c>
      <c r="O21" s="2993" t="s">
        <v>3155</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3" sqref="G33"/>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6" t="s">
        <v>2081</v>
      </c>
      <c r="B1" s="3127"/>
      <c r="C1" s="3127"/>
      <c r="D1" s="3127"/>
      <c r="E1" s="3127"/>
      <c r="F1" s="3127"/>
      <c r="G1" s="312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8" sqref="B2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66657.509999999995</v>
      </c>
      <c r="C1" s="1740"/>
      <c r="D1" s="1740"/>
      <c r="E1" s="1740"/>
      <c r="F1" s="1740"/>
      <c r="G1" s="1738"/>
    </row>
    <row r="2" spans="1:10" ht="16.5">
      <c r="A2" s="1741" t="s">
        <v>1349</v>
      </c>
      <c r="B2" s="1741">
        <f>SUM(C14:C23)</f>
        <v>21654.12</v>
      </c>
      <c r="C2" s="1740"/>
      <c r="D2" s="1740"/>
      <c r="E2" s="1740"/>
      <c r="F2" s="1740"/>
      <c r="G2" s="1738"/>
    </row>
    <row r="3" spans="1:10" ht="16.5">
      <c r="A3" s="1741" t="s">
        <v>1358</v>
      </c>
      <c r="B3" s="1742">
        <f>项目基本情况!D3</f>
        <v>43570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152171</v>
      </c>
      <c r="C5" s="1741">
        <f ca="1">ROUND(B5*10000/$B$1,0)</f>
        <v>22829</v>
      </c>
      <c r="D5" s="1741">
        <f ca="1">ROUND(B5*10000/$B$2,0)</f>
        <v>70273</v>
      </c>
      <c r="E5" s="1740"/>
      <c r="F5" s="1738"/>
      <c r="G5" s="1738"/>
    </row>
    <row r="6" spans="1:10" ht="16.5">
      <c r="A6" s="1741" t="s">
        <v>1352</v>
      </c>
      <c r="B6" s="1741">
        <f ca="1">SUM(G14:G23)</f>
        <v>152171</v>
      </c>
      <c r="C6" s="1741">
        <f ca="1">ROUND(B6*10000/$B$1,0)</f>
        <v>22829</v>
      </c>
      <c r="D6" s="1741">
        <f ca="1">ROUND(B6*10000/$B$2,0)</f>
        <v>70273</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31807.97</v>
      </c>
      <c r="C14" s="1739">
        <f>结果表!C118</f>
        <v>10333.02</v>
      </c>
      <c r="D14" s="1739">
        <f ca="1">结果表!H118</f>
        <v>74484</v>
      </c>
      <c r="E14" s="1739">
        <f ca="1">ROUND(D14*10000/B14,0)</f>
        <v>23417</v>
      </c>
      <c r="F14" s="1739">
        <f ca="1">ROUND(D14*10000/C14,0)</f>
        <v>72083</v>
      </c>
      <c r="G14" s="1739">
        <f ca="1">结果表!D122</f>
        <v>74484</v>
      </c>
      <c r="H14" s="1739" t="str">
        <f>结果表!D124</f>
        <v>——</v>
      </c>
      <c r="I14" s="1739" t="str">
        <f>结果表!D126</f>
        <v>——</v>
      </c>
      <c r="J14" s="1738"/>
    </row>
    <row r="15" spans="1:10" ht="16.5">
      <c r="A15" s="1737" t="s">
        <v>1345</v>
      </c>
      <c r="B15" s="1744">
        <f>'数据-汇总表'!F19</f>
        <v>18643.309999999998</v>
      </c>
      <c r="C15" s="1744">
        <f>'数据-汇总表'!D19</f>
        <v>6056.4</v>
      </c>
      <c r="D15" s="1744">
        <f ca="1">'结果表-商业'!G19</f>
        <v>40698</v>
      </c>
      <c r="E15" s="1739">
        <f t="shared" ref="E15:E23" ca="1" si="0">ROUND(D15*10000/B15,0)</f>
        <v>21830</v>
      </c>
      <c r="F15" s="1739">
        <f t="shared" ref="F15:F23" ca="1" si="1">ROUND(D15*10000/C15,0)</f>
        <v>67198</v>
      </c>
      <c r="G15" s="1745">
        <f ca="1">D15</f>
        <v>40698</v>
      </c>
      <c r="H15" s="1745"/>
      <c r="I15" s="1744"/>
      <c r="J15" s="1738"/>
    </row>
    <row r="16" spans="1:10" ht="16.5">
      <c r="A16" s="1737" t="s">
        <v>1344</v>
      </c>
      <c r="B16" s="1744">
        <f>'数据-基础表'!G15</f>
        <v>16206.23</v>
      </c>
      <c r="C16" s="1744">
        <f>'数据-基础表'!E15</f>
        <v>5264.7</v>
      </c>
      <c r="D16" s="1744">
        <f ca="1">'结果表-公寓'!G19</f>
        <v>36989</v>
      </c>
      <c r="E16" s="1739">
        <f t="shared" ca="1" si="0"/>
        <v>22824</v>
      </c>
      <c r="F16" s="1739">
        <f t="shared" ca="1" si="1"/>
        <v>70259</v>
      </c>
      <c r="G16" s="1745">
        <f ca="1">D16</f>
        <v>36989</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5" zoomScaleNormal="100" zoomScaleSheetLayoutView="100" zoomScalePageLayoutView="80" workbookViewId="0">
      <selection activeCell="D108" sqref="D108"/>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3124</v>
      </c>
      <c r="H1" s="2420" t="str">
        <f>IF(G1="现房","——","估价对象范围")</f>
        <v>——</v>
      </c>
      <c r="I1" s="2421"/>
    </row>
    <row r="2" spans="1:12" ht="21.75" customHeight="1" thickBot="1">
      <c r="A2" s="3200" t="str">
        <f>项目基本情况!S2</f>
        <v>北京市房地产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4" t="s">
        <v>2121</v>
      </c>
      <c r="B4" s="2425" t="s">
        <v>2122</v>
      </c>
      <c r="C4" s="2426" t="s">
        <v>3125</v>
      </c>
      <c r="D4" s="2426" t="s">
        <v>3071</v>
      </c>
      <c r="E4" s="3184" t="s">
        <v>2123</v>
      </c>
      <c r="F4" s="3197"/>
      <c r="G4" s="3197"/>
      <c r="H4" s="3197"/>
      <c r="I4" s="3185"/>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5" t="s">
        <v>2124</v>
      </c>
      <c r="B5" s="3101">
        <v>25</v>
      </c>
      <c r="C5" s="3205"/>
      <c r="D5" s="3193"/>
      <c r="E5" s="140" t="s">
        <v>2125</v>
      </c>
      <c r="F5" s="2428"/>
      <c r="G5" s="2428"/>
      <c r="H5" s="2428"/>
      <c r="I5" s="1829"/>
    </row>
    <row r="6" spans="1:12" ht="12.75">
      <c r="A6" s="3175"/>
      <c r="B6" s="3101"/>
      <c r="C6" s="3207"/>
      <c r="D6" s="3193"/>
      <c r="E6" s="140" t="s">
        <v>2126</v>
      </c>
      <c r="F6" s="2428"/>
      <c r="G6" s="2428"/>
      <c r="H6" s="2428"/>
      <c r="I6" s="1829"/>
    </row>
    <row r="7" spans="1:12" ht="12.75">
      <c r="A7" s="3175"/>
      <c r="B7" s="3101"/>
      <c r="C7" s="3206"/>
      <c r="D7" s="3193"/>
      <c r="E7" s="140" t="s">
        <v>2127</v>
      </c>
      <c r="F7" s="2428"/>
      <c r="G7" s="2428"/>
      <c r="H7" s="2428"/>
      <c r="I7" s="1829"/>
    </row>
    <row r="8" spans="1:12" ht="12.75">
      <c r="A8" s="3175" t="s">
        <v>2128</v>
      </c>
      <c r="B8" s="3101">
        <v>15</v>
      </c>
      <c r="C8" s="3205"/>
      <c r="D8" s="3193"/>
      <c r="E8" s="140" t="s">
        <v>2129</v>
      </c>
      <c r="F8" s="2428"/>
      <c r="G8" s="2428"/>
      <c r="H8" s="2428"/>
      <c r="I8" s="1829"/>
    </row>
    <row r="9" spans="1:12" ht="12.75">
      <c r="A9" s="3175"/>
      <c r="B9" s="3101"/>
      <c r="C9" s="3206"/>
      <c r="D9" s="3193"/>
      <c r="E9" s="140" t="s">
        <v>2130</v>
      </c>
      <c r="F9" s="2428"/>
      <c r="G9" s="2428"/>
      <c r="H9" s="2428"/>
      <c r="I9" s="1829"/>
    </row>
    <row r="10" spans="1:12" ht="12.75">
      <c r="A10" s="3175" t="s">
        <v>2131</v>
      </c>
      <c r="B10" s="3101">
        <v>15</v>
      </c>
      <c r="C10" s="3205"/>
      <c r="D10" s="3193"/>
      <c r="E10" s="140" t="s">
        <v>2132</v>
      </c>
      <c r="F10" s="2428"/>
      <c r="G10" s="2428"/>
      <c r="H10" s="2428"/>
      <c r="I10" s="1829"/>
    </row>
    <row r="11" spans="1:12" ht="12.75">
      <c r="A11" s="3175"/>
      <c r="B11" s="3101"/>
      <c r="C11" s="3206"/>
      <c r="D11" s="3193"/>
      <c r="E11" s="140" t="s">
        <v>2133</v>
      </c>
      <c r="F11" s="2428"/>
      <c r="G11" s="2428"/>
      <c r="H11" s="2428"/>
      <c r="I11" s="1829"/>
    </row>
    <row r="12" spans="1:12" ht="12.75">
      <c r="A12" s="3175" t="s">
        <v>2134</v>
      </c>
      <c r="B12" s="3101">
        <v>15</v>
      </c>
      <c r="C12" s="3205"/>
      <c r="D12" s="3193"/>
      <c r="E12" s="140" t="s">
        <v>2135</v>
      </c>
      <c r="F12" s="2428"/>
      <c r="G12" s="2428"/>
      <c r="H12" s="2428"/>
      <c r="I12" s="1829"/>
    </row>
    <row r="13" spans="1:12" ht="12.75">
      <c r="A13" s="3175"/>
      <c r="B13" s="3101"/>
      <c r="C13" s="3206"/>
      <c r="D13" s="3193"/>
      <c r="E13" s="140" t="s">
        <v>2136</v>
      </c>
      <c r="F13" s="2428"/>
      <c r="G13" s="2428"/>
      <c r="H13" s="2428"/>
      <c r="I13" s="1829"/>
    </row>
    <row r="14" spans="1:12" ht="12.75">
      <c r="A14" s="3175" t="s">
        <v>2137</v>
      </c>
      <c r="B14" s="3101">
        <v>30</v>
      </c>
      <c r="C14" s="3205">
        <v>5</v>
      </c>
      <c r="D14" s="3193">
        <v>5</v>
      </c>
      <c r="E14" s="140" t="s">
        <v>2138</v>
      </c>
      <c r="F14" s="2428"/>
      <c r="G14" s="2428"/>
      <c r="H14" s="2428"/>
      <c r="I14" s="1829"/>
    </row>
    <row r="15" spans="1:12" ht="12.75">
      <c r="A15" s="3175"/>
      <c r="B15" s="3101"/>
      <c r="C15" s="3207"/>
      <c r="D15" s="3193"/>
      <c r="E15" s="140" t="s">
        <v>2139</v>
      </c>
      <c r="F15" s="2428"/>
      <c r="G15" s="2428"/>
      <c r="H15" s="2428"/>
      <c r="I15" s="1829"/>
    </row>
    <row r="16" spans="1:12" ht="12.75">
      <c r="A16" s="3175"/>
      <c r="B16" s="3101"/>
      <c r="C16" s="3206"/>
      <c r="D16" s="3193"/>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SUMIF(INDIRECT("'"&amp;C4&amp;"'"&amp;"!A:A"),结果表!B19,INDIRECT("'"&amp;C4&amp;"'"&amp;"!B:B"))</f>
        <v>82351</v>
      </c>
      <c r="D19" s="144">
        <f ca="1">SUMIF(INDIRECT("'"&amp;D4&amp;"'"&amp;"!A:A"),结果表!B19,INDIRECT("'"&amp;D4&amp;"'"&amp;"!B:B"))</f>
        <v>66616</v>
      </c>
      <c r="E19" s="2433" t="s">
        <v>2148</v>
      </c>
      <c r="F19" s="2434" t="s">
        <v>2147</v>
      </c>
      <c r="G19" s="145">
        <f ca="1">ROUND(C19*$C$18+D19*$D$18,0)</f>
        <v>74484</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SUMIF(INDIRECT("'"&amp;C4&amp;"'"&amp;"!A:A"),结果表!B20,INDIRECT("'"&amp;C4&amp;"'"&amp;"!B:B"))</f>
        <v>25890</v>
      </c>
      <c r="D20" s="147">
        <f ca="1">SUMIF(INDIRECT("'"&amp;D4&amp;"'"&amp;"!A:A"),结果表!B20,INDIRECT("'"&amp;D4&amp;"'"&amp;"!B:B"))</f>
        <v>20943</v>
      </c>
      <c r="E20" s="2436"/>
      <c r="F20" s="1248" t="s">
        <v>2151</v>
      </c>
      <c r="G20" s="148">
        <f ca="1">ROUND(C20*$C$18+D20*$D$18,0)</f>
        <v>23417</v>
      </c>
      <c r="H20" s="981" t="s">
        <v>2152</v>
      </c>
      <c r="I20" s="138"/>
    </row>
    <row r="21" spans="1:35" ht="15" customHeight="1" thickBot="1">
      <c r="A21" s="1001"/>
      <c r="B21" s="2437" t="s">
        <v>2153</v>
      </c>
      <c r="C21" s="787">
        <f ca="1">ROUND(C19*10000/L19,0)</f>
        <v>79697</v>
      </c>
      <c r="D21" s="788">
        <f ca="1">ROUND(D19*10000/L19,0)</f>
        <v>64469</v>
      </c>
      <c r="E21" s="1001"/>
      <c r="F21" s="2437" t="s">
        <v>2153</v>
      </c>
      <c r="G21" s="149">
        <f ca="1">ROUND(G19*10000/L19,0)</f>
        <v>72083</v>
      </c>
      <c r="H21" s="2438" t="s">
        <v>2152</v>
      </c>
      <c r="I21" s="138"/>
    </row>
    <row r="22" spans="1:35" ht="15" thickBot="1">
      <c r="A22" s="2279" t="s">
        <v>2154</v>
      </c>
      <c r="B22" s="2439"/>
      <c r="C22" s="2440"/>
      <c r="D22" s="789">
        <f ca="1">IF(C19&lt;D19,D19/C19-1,C19/D19-1)</f>
        <v>0.23620451543172805</v>
      </c>
      <c r="E22" s="138"/>
      <c r="F22" s="138"/>
      <c r="G22" s="138"/>
      <c r="H22" s="138"/>
      <c r="I22" s="138"/>
    </row>
    <row r="23" spans="1:35" ht="13.5" thickBot="1">
      <c r="A23" s="2417"/>
      <c r="B23" s="2417"/>
      <c r="C23" s="2417"/>
      <c r="D23" s="2417"/>
      <c r="E23" s="138"/>
      <c r="F23" s="138"/>
      <c r="G23" s="138"/>
      <c r="H23" s="138"/>
      <c r="I23" s="138"/>
      <c r="K23" s="793">
        <f ca="1">ROUND(G20*面积!B1/10000,0)</f>
        <v>37947</v>
      </c>
    </row>
    <row r="24" spans="1:35" ht="14.25">
      <c r="A24" s="3214" t="s">
        <v>2155</v>
      </c>
      <c r="B24" s="2434" t="s">
        <v>2147</v>
      </c>
      <c r="C24" s="145">
        <f>IF(B30=0,0,D30)</f>
        <v>0</v>
      </c>
      <c r="D24" s="2441"/>
      <c r="E24" s="138"/>
      <c r="F24" s="138"/>
      <c r="G24" s="138"/>
      <c r="H24" s="138"/>
      <c r="I24" s="138"/>
      <c r="K24" s="793">
        <f ca="1">G19-K23</f>
        <v>36537</v>
      </c>
    </row>
    <row r="25" spans="1:35" ht="14.25">
      <c r="A25" s="3215"/>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74484</v>
      </c>
      <c r="D32" s="2448" t="s">
        <v>2162</v>
      </c>
      <c r="E32" s="138"/>
      <c r="F32" s="138"/>
      <c r="G32" s="138"/>
      <c r="H32" s="138"/>
      <c r="I32" s="138"/>
    </row>
    <row r="33" spans="1:15" ht="15">
      <c r="A33" s="958"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4" t="s">
        <v>2169</v>
      </c>
      <c r="B36" s="2460" t="s">
        <v>2170</v>
      </c>
      <c r="C36" s="154"/>
      <c r="D36" s="2461"/>
      <c r="E36" s="2462"/>
      <c r="F36" s="2463"/>
      <c r="G36" s="138"/>
      <c r="H36" s="138"/>
      <c r="I36" s="138"/>
    </row>
    <row r="37" spans="1:15" ht="15.75" thickBot="1">
      <c r="A37" s="3195"/>
      <c r="B37" s="2265" t="s">
        <v>2171</v>
      </c>
      <c r="C37" s="156"/>
      <c r="D37" s="1393"/>
      <c r="E37" s="1393"/>
      <c r="F37" s="2463"/>
      <c r="G37" s="138"/>
      <c r="H37" s="138"/>
      <c r="I37" s="138"/>
    </row>
    <row r="38" spans="1:15" ht="15.75" thickBot="1">
      <c r="A38" s="3196"/>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1" t="s">
        <v>2183</v>
      </c>
      <c r="B45" s="3212"/>
      <c r="C45" s="3213"/>
      <c r="D45" s="164">
        <f ca="1">ROUND(H101*F45,0)</f>
        <v>74484</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79"/>
      <c r="I46" s="168"/>
      <c r="J46" s="1807">
        <v>1</v>
      </c>
      <c r="K46" s="3130" t="s">
        <v>2188</v>
      </c>
      <c r="L46" s="3130"/>
      <c r="M46" s="3131"/>
      <c r="N46" s="3131"/>
      <c r="O46" s="3131"/>
    </row>
    <row r="47" spans="1:15" ht="12" customHeight="1">
      <c r="A47" s="169" t="s">
        <v>2189</v>
      </c>
      <c r="B47" s="170"/>
      <c r="C47" s="171"/>
      <c r="D47" s="172" t="s">
        <v>2190</v>
      </c>
      <c r="E47" s="24" t="s">
        <v>2191</v>
      </c>
      <c r="F47" s="173" t="s">
        <v>2192</v>
      </c>
      <c r="G47" s="174" t="s">
        <v>2193</v>
      </c>
      <c r="H47" s="2479"/>
      <c r="I47" s="168"/>
      <c r="J47" s="1807">
        <v>2</v>
      </c>
      <c r="K47" s="3130" t="s">
        <v>2194</v>
      </c>
      <c r="L47" s="3130"/>
      <c r="M47" s="3132">
        <f>'数据-取费表'!B2</f>
        <v>43570</v>
      </c>
      <c r="N47" s="3132"/>
      <c r="O47" s="3132"/>
    </row>
    <row r="48" spans="1:15" ht="25.5">
      <c r="A48" s="3198" t="s">
        <v>2195</v>
      </c>
      <c r="B48" s="3199"/>
      <c r="C48" s="3199"/>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30" t="s">
        <v>2198</v>
      </c>
      <c r="L48" s="3130"/>
      <c r="M48" s="3133">
        <f ca="1">H101</f>
        <v>74484</v>
      </c>
      <c r="N48" s="3133"/>
      <c r="O48" s="3133"/>
    </row>
    <row r="49" spans="1:35" ht="25.5" customHeight="1">
      <c r="A49" s="176" t="s">
        <v>2199</v>
      </c>
      <c r="B49" s="3178" t="s">
        <v>2200</v>
      </c>
      <c r="C49" s="3178"/>
      <c r="D49" s="177">
        <v>0</v>
      </c>
      <c r="E49" s="23" t="s">
        <v>2201</v>
      </c>
      <c r="F49" s="28" t="s">
        <v>34</v>
      </c>
      <c r="G49" s="3159"/>
      <c r="H49" s="138"/>
      <c r="I49" s="2482"/>
      <c r="J49" s="1807">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customHeight="1">
      <c r="A50" s="178"/>
      <c r="B50" s="3178" t="s">
        <v>2202</v>
      </c>
      <c r="C50" s="3178"/>
      <c r="D50" s="179"/>
      <c r="E50" s="31"/>
      <c r="F50" s="180"/>
      <c r="G50" s="3160"/>
      <c r="H50" s="138"/>
      <c r="I50" s="2482"/>
      <c r="J50" s="3130" t="s">
        <v>2203</v>
      </c>
      <c r="K50" s="3130"/>
      <c r="L50" s="3130"/>
      <c r="M50" s="3130"/>
      <c r="N50" s="3130"/>
      <c r="O50" s="3130"/>
    </row>
    <row r="51" spans="1:35" ht="12" customHeight="1">
      <c r="A51" s="181"/>
      <c r="B51" s="3178" t="s">
        <v>2204</v>
      </c>
      <c r="C51" s="3178"/>
      <c r="D51" s="182"/>
      <c r="E51" s="30"/>
      <c r="F51" s="180"/>
      <c r="G51" s="3161"/>
      <c r="H51" s="138"/>
      <c r="I51" s="2482"/>
      <c r="J51" s="2483" t="s">
        <v>2205</v>
      </c>
      <c r="K51" s="3130" t="s">
        <v>2206</v>
      </c>
      <c r="L51" s="3130"/>
      <c r="M51" s="2483" t="s">
        <v>2207</v>
      </c>
      <c r="N51" s="2483" t="s">
        <v>2208</v>
      </c>
      <c r="O51" s="2483" t="s">
        <v>2209</v>
      </c>
    </row>
    <row r="52" spans="1:35" ht="24" customHeight="1">
      <c r="A52" s="183" t="s">
        <v>2210</v>
      </c>
      <c r="B52" s="3178" t="s">
        <v>2211</v>
      </c>
      <c r="C52" s="3178"/>
      <c r="D52" s="182">
        <f ca="1">ROUND(D45*'数据-取费表'!B41/(1+'数据-取费表'!C42),0)</f>
        <v>3902</v>
      </c>
      <c r="E52" s="11" t="s">
        <v>2212</v>
      </c>
      <c r="F52" s="184">
        <f>'数据-取费表'!B41</f>
        <v>5.5000000000000007E-2</v>
      </c>
      <c r="G52" s="2484"/>
      <c r="H52" s="138"/>
      <c r="I52" s="2482"/>
      <c r="J52" s="1807">
        <v>1</v>
      </c>
      <c r="K52" s="3153" t="s">
        <v>2213</v>
      </c>
      <c r="L52" s="3153"/>
      <c r="M52" s="1749">
        <f>D48</f>
        <v>0</v>
      </c>
      <c r="N52" s="1807" t="str">
        <f>E48</f>
        <v>销售额×税（费）率</v>
      </c>
      <c r="O52" s="1750" t="str">
        <f>F48</f>
        <v>免征</v>
      </c>
    </row>
    <row r="53" spans="1:35" ht="12" customHeight="1">
      <c r="A53" s="183" t="s">
        <v>2214</v>
      </c>
      <c r="B53" s="3179" t="s">
        <v>2215</v>
      </c>
      <c r="C53" s="3180"/>
      <c r="D53" s="182">
        <f ca="1">ROUND(D45*'数据-取费表'!B41/(1+'数据-取费表'!C42),0)</f>
        <v>3902</v>
      </c>
      <c r="E53" s="11" t="s">
        <v>2212</v>
      </c>
      <c r="F53" s="184">
        <f>'数据-取费表'!B41</f>
        <v>5.5000000000000007E-2</v>
      </c>
      <c r="G53" s="2484"/>
      <c r="H53" s="138"/>
      <c r="I53" s="2482"/>
      <c r="J53" s="1807">
        <v>2</v>
      </c>
      <c r="K53" s="3153" t="s">
        <v>2216</v>
      </c>
      <c r="L53" s="3153"/>
      <c r="M53" s="1749">
        <f t="shared" ref="M53:O54" ca="1" si="0">D55</f>
        <v>37</v>
      </c>
      <c r="N53" s="1807" t="str">
        <f t="shared" si="0"/>
        <v>销售额×税（费）率</v>
      </c>
      <c r="O53" s="1750">
        <f t="shared" si="0"/>
        <v>5.0000000000000001E-4</v>
      </c>
    </row>
    <row r="54" spans="1:35" ht="12" customHeight="1">
      <c r="A54" s="183" t="s">
        <v>2217</v>
      </c>
      <c r="B54" s="3179" t="s">
        <v>2218</v>
      </c>
      <c r="C54" s="3180"/>
      <c r="D54" s="182">
        <f ca="1">C68</f>
        <v>3902</v>
      </c>
      <c r="E54" s="30" t="s">
        <v>2219</v>
      </c>
      <c r="F54" s="184">
        <f>'数据-取费表'!B41</f>
        <v>5.5000000000000007E-2</v>
      </c>
      <c r="G54" s="2484"/>
      <c r="H54" s="2485"/>
      <c r="I54" s="2482"/>
      <c r="J54" s="1807">
        <v>3</v>
      </c>
      <c r="K54" s="3153" t="s">
        <v>2220</v>
      </c>
      <c r="L54" s="3153"/>
      <c r="M54" s="1749">
        <f t="shared" ca="1" si="0"/>
        <v>42225</v>
      </c>
      <c r="N54" s="1807" t="str">
        <f t="shared" si="0"/>
        <v>增值额×税（费）率</v>
      </c>
      <c r="O54" s="1751" t="str">
        <f t="shared" si="0"/>
        <v>——</v>
      </c>
    </row>
    <row r="55" spans="1:35" ht="24" customHeight="1">
      <c r="A55" s="3217" t="s">
        <v>2221</v>
      </c>
      <c r="B55" s="3199"/>
      <c r="C55" s="3199"/>
      <c r="D55" s="185">
        <f ca="1">IF(H55="个人住宅",0,ROUND(D45*I55,0))</f>
        <v>37</v>
      </c>
      <c r="E55" s="11" t="s">
        <v>2222</v>
      </c>
      <c r="F55" s="184">
        <f>IF(H55="正常",I55,"免征")</f>
        <v>5.0000000000000001E-4</v>
      </c>
      <c r="G55" s="2484"/>
      <c r="H55" s="2481" t="s">
        <v>2223</v>
      </c>
      <c r="I55" s="186">
        <f>'数据-取费表'!B49</f>
        <v>5.0000000000000001E-4</v>
      </c>
      <c r="J55" s="1807" t="str">
        <f>IF(H59="非个人房产","",4)</f>
        <v/>
      </c>
      <c r="K55" s="3153" t="str">
        <f>IF(H59="非个人房产","——","个人所得税")</f>
        <v>——</v>
      </c>
      <c r="L55" s="3153"/>
      <c r="M55" s="1752" t="str">
        <f>D59</f>
        <v>——</v>
      </c>
      <c r="N55" s="1805" t="str">
        <f>E59</f>
        <v>——</v>
      </c>
      <c r="O55" s="1753" t="str">
        <f>F59</f>
        <v>——</v>
      </c>
    </row>
    <row r="56" spans="1:35" ht="24.75">
      <c r="A56" s="3217" t="s">
        <v>2224</v>
      </c>
      <c r="B56" s="3199"/>
      <c r="C56" s="3199"/>
      <c r="D56" s="185">
        <f ca="1">IF(H56="个人住宅",D57,D58)</f>
        <v>42225</v>
      </c>
      <c r="E56" s="11" t="s">
        <v>2225</v>
      </c>
      <c r="F56" s="184" t="str">
        <f>IF(H56="正常",F58,"免征")</f>
        <v>——</v>
      </c>
      <c r="G56" s="2486" t="s">
        <v>2226</v>
      </c>
      <c r="H56" s="2487" t="s">
        <v>2223</v>
      </c>
      <c r="I56" s="2488"/>
      <c r="J56" s="1807" t="str">
        <f>IF(项目基本情况!K6="上海银行",IF(J55="",4,J55+1),"")</f>
        <v/>
      </c>
      <c r="K56" s="3136" t="str">
        <f>IF(项目基本情况!K6="上海银行","其他处置费用","")</f>
        <v/>
      </c>
      <c r="L56" s="3137"/>
      <c r="M56" s="1749"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4"/>
      <c r="H57" s="2488"/>
      <c r="I57" s="2488"/>
      <c r="J57" s="3153">
        <f>IF(AND(J55="",J56=""),4,IF(项目基本情况!K6="上海银行",结果表!J56+1,结果表!J55+1))</f>
        <v>4</v>
      </c>
      <c r="K57" s="3153" t="s">
        <v>2228</v>
      </c>
      <c r="L57" s="2489" t="s">
        <v>2229</v>
      </c>
      <c r="M57" s="1754"/>
      <c r="N57" s="1755">
        <f ca="1">SUMIF(M52:M56,"&lt;9e307")</f>
        <v>42262</v>
      </c>
      <c r="O57" s="2490"/>
      <c r="P57" s="1748" t="e">
        <f ca="1">N57/M49</f>
        <v>#VALUE!</v>
      </c>
    </row>
    <row r="58" spans="1:35" ht="24.75">
      <c r="A58" s="183" t="s">
        <v>2210</v>
      </c>
      <c r="B58" s="3184" t="s">
        <v>2230</v>
      </c>
      <c r="C58" s="3197"/>
      <c r="D58" s="185">
        <f ca="1">IF(H58="转让取得",C81,C97)</f>
        <v>42225</v>
      </c>
      <c r="E58" s="11" t="s">
        <v>2225</v>
      </c>
      <c r="F58" s="24" t="s">
        <v>34</v>
      </c>
      <c r="G58" s="2484"/>
      <c r="H58" s="2487" t="s">
        <v>2231</v>
      </c>
      <c r="I58" s="2488"/>
      <c r="J58" s="3153"/>
      <c r="K58" s="3153"/>
      <c r="L58" s="2489" t="s">
        <v>2232</v>
      </c>
      <c r="M58" s="1756"/>
      <c r="N58" s="2491" t="str">
        <f ca="1">NUMBERSTRING(INT(N57*10000),2)&amp;"元整"</f>
        <v>肆亿贰仟贰佰陆拾贰万元整</v>
      </c>
      <c r="O58" s="2492"/>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5">
        <f>J57+1</f>
        <v>5</v>
      </c>
      <c r="K59" s="3153" t="s">
        <v>2235</v>
      </c>
      <c r="L59" s="1807" t="s">
        <v>2229</v>
      </c>
      <c r="M59" s="1757"/>
      <c r="N59" s="1758" t="e">
        <f ca="1">M49-N57</f>
        <v>#VALUE!</v>
      </c>
      <c r="O59" s="2494"/>
    </row>
    <row r="60" spans="1:35" ht="12" customHeight="1">
      <c r="A60" s="2495"/>
      <c r="B60" s="2417"/>
      <c r="C60" s="2417"/>
      <c r="D60" s="2417"/>
      <c r="E60" s="2165"/>
      <c r="F60" s="2488"/>
      <c r="G60" s="2488"/>
      <c r="H60" s="2496"/>
      <c r="I60" s="138"/>
      <c r="J60" s="3156"/>
      <c r="K60" s="3153"/>
      <c r="L60" s="2489" t="s">
        <v>2232</v>
      </c>
      <c r="M60" s="1756"/>
      <c r="N60" s="2491" t="e">
        <f ca="1">NUMBERSTRING(INT(N59*10000),2)&amp;"元整"</f>
        <v>#VALUE!</v>
      </c>
      <c r="O60" s="2492"/>
    </row>
    <row r="61" spans="1:35" ht="13.5" thickBot="1">
      <c r="A61" s="3216" t="s">
        <v>2236</v>
      </c>
      <c r="B61" s="3216"/>
      <c r="C61" s="3216"/>
      <c r="D61" s="3216"/>
      <c r="E61" s="3216"/>
      <c r="F61" s="2488"/>
      <c r="G61" s="2488"/>
      <c r="H61" s="2496"/>
      <c r="I61" s="138"/>
      <c r="J61" s="1807">
        <f>J59+1</f>
        <v>6</v>
      </c>
      <c r="K61" s="3153" t="s">
        <v>2237</v>
      </c>
      <c r="L61" s="3153"/>
      <c r="M61" s="1759"/>
      <c r="N61" s="1760" t="e">
        <f ca="1">ROUND(N59*10000/'数据-汇总表'!E3,0)</f>
        <v>#VALUE!</v>
      </c>
      <c r="O61" s="2497"/>
    </row>
    <row r="62" spans="1:35" ht="12.75">
      <c r="A62" s="3173" t="s">
        <v>2238</v>
      </c>
      <c r="B62" s="3174"/>
      <c r="C62" s="1799"/>
      <c r="D62" s="1799" t="s">
        <v>2239</v>
      </c>
      <c r="E62" s="192" t="s">
        <v>2240</v>
      </c>
      <c r="F62" s="2488"/>
      <c r="G62" s="2488"/>
      <c r="H62" s="2496"/>
      <c r="I62" s="138"/>
    </row>
    <row r="63" spans="1:35" ht="12.75">
      <c r="A63" s="203" t="s">
        <v>775</v>
      </c>
      <c r="B63" s="193" t="s">
        <v>2241</v>
      </c>
      <c r="C63" s="194">
        <f ca="1">ROUND((C64+C65)/(1+'数据-取费表'!C42),0)</f>
        <v>70937</v>
      </c>
      <c r="D63" s="195"/>
      <c r="E63" s="196"/>
      <c r="F63" s="2488"/>
      <c r="G63" s="2488"/>
      <c r="H63" s="2496"/>
      <c r="I63" s="138"/>
      <c r="J63" s="3138"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74484</v>
      </c>
      <c r="D64" s="200" t="s">
        <v>32</v>
      </c>
      <c r="E64" s="201"/>
      <c r="F64" s="2488"/>
      <c r="G64" s="2488"/>
      <c r="H64" s="2496"/>
      <c r="I64" s="138"/>
      <c r="J64" s="3138"/>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8"/>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8"/>
      <c r="K66" s="2498" t="s">
        <v>2250</v>
      </c>
      <c r="L66" s="1747" t="e">
        <f>M49*0.5%</f>
        <v>#VALUE!</v>
      </c>
      <c r="M66" s="24" t="e">
        <f>IF(L66&gt;0.5,0.5,ROUND(L66,0))</f>
        <v>#VALUE!</v>
      </c>
      <c r="N66" s="138" t="s">
        <v>2251</v>
      </c>
      <c r="Z66" s="2422"/>
      <c r="AI66" s="2423"/>
    </row>
    <row r="67" spans="1:35" ht="14.25" customHeight="1">
      <c r="A67" s="203" t="s">
        <v>773</v>
      </c>
      <c r="B67" s="204" t="s">
        <v>2252</v>
      </c>
      <c r="C67" s="207">
        <f ca="1">C63-C66</f>
        <v>70937</v>
      </c>
      <c r="D67" s="200" t="s">
        <v>32</v>
      </c>
      <c r="E67" s="201"/>
      <c r="F67" s="2488"/>
      <c r="G67" s="2488"/>
      <c r="H67" s="2496"/>
      <c r="I67" s="138"/>
      <c r="J67" s="3138"/>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3902</v>
      </c>
      <c r="D68" s="211">
        <f>'数据-取费表'!B41</f>
        <v>5.5000000000000007E-2</v>
      </c>
      <c r="E68" s="212"/>
      <c r="F68" s="2488"/>
      <c r="G68" s="2488"/>
      <c r="H68" s="2496"/>
      <c r="I68" s="138"/>
      <c r="J68" s="3138"/>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2" t="s">
        <v>2257</v>
      </c>
      <c r="B70" s="3183"/>
      <c r="C70" s="3183"/>
      <c r="D70" s="3183"/>
      <c r="E70" s="3183"/>
      <c r="F70" s="3183"/>
      <c r="G70" s="3183"/>
      <c r="H70" s="318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3" t="s">
        <v>2238</v>
      </c>
      <c r="B71" s="3174"/>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70937</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355</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9" t="s">
        <v>2266</v>
      </c>
      <c r="F76" s="3178"/>
      <c r="G76" s="3178"/>
      <c r="H76" s="318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355</v>
      </c>
      <c r="D78" s="226">
        <f>'数据-取费表'!B43</f>
        <v>5.000000000000001E-3</v>
      </c>
      <c r="E78" s="3170" t="s">
        <v>2271</v>
      </c>
      <c r="F78" s="3171"/>
      <c r="G78" s="3171"/>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70582</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198.82253521126759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42225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2" t="s">
        <v>2275</v>
      </c>
      <c r="B83" s="3183"/>
      <c r="C83" s="3183"/>
      <c r="D83" s="3183"/>
      <c r="E83" s="3183"/>
      <c r="F83" s="3183"/>
      <c r="G83" s="3183"/>
      <c r="H83" s="318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3" t="s">
        <v>2238</v>
      </c>
      <c r="B84" s="3174"/>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70937</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355</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0" t="s">
        <v>2284</v>
      </c>
      <c r="F91" s="3171"/>
      <c r="G91" s="317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0" t="s">
        <v>2288</v>
      </c>
      <c r="F92" s="3171"/>
      <c r="G92" s="3171"/>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355</v>
      </c>
      <c r="D93" s="226">
        <f>'数据-取费表'!B43</f>
        <v>5.000000000000001E-3</v>
      </c>
      <c r="E93" s="3170" t="s">
        <v>2271</v>
      </c>
      <c r="F93" s="3171"/>
      <c r="G93" s="3171"/>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8" t="s">
        <v>2292</v>
      </c>
      <c r="F94" s="3219"/>
      <c r="G94" s="3219"/>
      <c r="H94" s="322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70582</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198.82253521126759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42225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54"/>
      <c r="E100" s="3123" t="s">
        <v>2295</v>
      </c>
      <c r="F100" s="3123"/>
      <c r="G100" s="3123"/>
      <c r="H100" s="3154"/>
      <c r="I100" s="138"/>
    </row>
    <row r="101" spans="1:35" ht="18.75" customHeight="1">
      <c r="A101" s="3162" t="s">
        <v>2296</v>
      </c>
      <c r="B101" s="3163"/>
      <c r="C101" s="734" t="str">
        <f>C4</f>
        <v>比较法-办公</v>
      </c>
      <c r="D101" s="735" t="str">
        <f>D4</f>
        <v>收益法</v>
      </c>
      <c r="E101" s="3134" t="s">
        <v>2297</v>
      </c>
      <c r="F101" s="3135"/>
      <c r="G101" s="2519" t="s">
        <v>2298</v>
      </c>
      <c r="H101" s="1046">
        <f ca="1">H118</f>
        <v>74484</v>
      </c>
      <c r="I101" s="138"/>
    </row>
    <row r="102" spans="1:35" ht="18.75" customHeight="1">
      <c r="A102" s="3164" t="s">
        <v>2299</v>
      </c>
      <c r="B102" s="2519" t="s">
        <v>2298</v>
      </c>
      <c r="C102" s="734">
        <f ca="1">C19</f>
        <v>82351</v>
      </c>
      <c r="D102" s="735">
        <f ca="1">D19</f>
        <v>66616</v>
      </c>
      <c r="E102" s="3134"/>
      <c r="F102" s="3135"/>
      <c r="G102" s="2519" t="s">
        <v>2300</v>
      </c>
      <c r="H102" s="371">
        <f ca="1">I118</f>
        <v>23417</v>
      </c>
      <c r="I102" s="138"/>
    </row>
    <row r="103" spans="1:35" ht="42.75" customHeight="1">
      <c r="A103" s="3164"/>
      <c r="B103" s="2519" t="s">
        <v>2300</v>
      </c>
      <c r="C103" s="736">
        <f ca="1">C20</f>
        <v>25890</v>
      </c>
      <c r="D103" s="737">
        <f ca="1">D20</f>
        <v>20943</v>
      </c>
      <c r="E103" s="3128" t="s">
        <v>2301</v>
      </c>
      <c r="F103" s="3129"/>
      <c r="G103" s="2520" t="s">
        <v>2302</v>
      </c>
      <c r="H103" s="1046">
        <f>IF(D36="正常操作",H104+H105+H106,H105+H106)</f>
        <v>0</v>
      </c>
      <c r="I103" s="138"/>
    </row>
    <row r="104" spans="1:35" ht="18.75" customHeight="1">
      <c r="A104" s="3164" t="s">
        <v>2303</v>
      </c>
      <c r="B104" s="2521" t="s">
        <v>2298</v>
      </c>
      <c r="C104" s="738">
        <f ca="1">H118</f>
        <v>74484</v>
      </c>
      <c r="D104" s="739"/>
      <c r="E104" s="2265" t="s">
        <v>2304</v>
      </c>
      <c r="F104" s="2257"/>
      <c r="G104" s="2520" t="s">
        <v>2302</v>
      </c>
      <c r="H104" s="1047">
        <f>IF(D36="同一抵押权人同一抵押物续贷",C36&amp;"（未扣减，详见特别提示）",C36)</f>
        <v>0</v>
      </c>
      <c r="I104" s="138"/>
    </row>
    <row r="105" spans="1:35" ht="18.75" customHeight="1" thickBot="1">
      <c r="A105" s="3176"/>
      <c r="B105" s="2522" t="s">
        <v>2300</v>
      </c>
      <c r="C105" s="740">
        <f ca="1">I118</f>
        <v>23417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5" t="str">
        <f>IF(项目基本情况!E8="已注销","——","3.房地产抵押价值")</f>
        <v>3.房地产抵押价值</v>
      </c>
      <c r="F107" s="3135"/>
      <c r="G107" s="2519" t="s">
        <v>2298</v>
      </c>
      <c r="H107" s="1046">
        <f ca="1">IF(E107="——","——",H101-H103)</f>
        <v>74484</v>
      </c>
      <c r="I107" s="138"/>
    </row>
    <row r="108" spans="1:35" ht="18.75" customHeight="1">
      <c r="A108" s="138"/>
      <c r="B108" s="138"/>
      <c r="C108" s="138"/>
      <c r="D108" s="138"/>
      <c r="E108" s="3165"/>
      <c r="F108" s="3135"/>
      <c r="G108" s="2519" t="s">
        <v>2300</v>
      </c>
      <c r="H108" s="371">
        <f ca="1">ROUND(H107*10000/'数据-汇总表'!E3,0)</f>
        <v>11174</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9" t="s">
        <v>2298</v>
      </c>
      <c r="H109" s="348" t="str">
        <f>IF(E109="——","——",H101-H105-H106)</f>
        <v>——</v>
      </c>
      <c r="I109" s="138"/>
    </row>
    <row r="110" spans="1:35" ht="18.75" customHeight="1">
      <c r="A110" s="138"/>
      <c r="B110" s="138"/>
      <c r="C110" s="138"/>
      <c r="D110" s="138"/>
      <c r="E110" s="3165"/>
      <c r="F110" s="3135"/>
      <c r="G110" s="2519"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2298</v>
      </c>
      <c r="H111" s="1046" t="str">
        <f>IF(E111="——","——",N59)</f>
        <v>——</v>
      </c>
      <c r="I111" s="138"/>
    </row>
    <row r="112" spans="1:35" ht="18.75" customHeight="1" thickBot="1">
      <c r="A112" s="138"/>
      <c r="B112" s="138"/>
      <c r="C112" s="138"/>
      <c r="D112" s="138"/>
      <c r="E112" s="3168"/>
      <c r="F112" s="3169"/>
      <c r="G112" s="2524" t="s">
        <v>2300</v>
      </c>
      <c r="H112" s="788"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101" t="s">
        <v>2309</v>
      </c>
      <c r="B116" s="3144" t="s">
        <v>2310</v>
      </c>
      <c r="C116" s="3144" t="s">
        <v>2311</v>
      </c>
      <c r="D116" s="3150" t="s">
        <v>2312</v>
      </c>
      <c r="E116" s="3151"/>
      <c r="F116" s="3186" t="s">
        <v>2313</v>
      </c>
      <c r="G116" s="3186"/>
      <c r="H116" s="3101" t="s">
        <v>2314</v>
      </c>
      <c r="I116" s="3101"/>
    </row>
    <row r="117" spans="1:11" ht="18.75" customHeight="1">
      <c r="A117" s="3101"/>
      <c r="B117" s="3145"/>
      <c r="C117" s="3145"/>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31807.97</v>
      </c>
      <c r="C118" s="1793">
        <f>M19</f>
        <v>10333.02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74484</v>
      </c>
      <c r="I118" s="1793">
        <f ca="1">ROUND(IF(D32="楼面单价",C32,H118*10000/B118),0)</f>
        <v>23417</v>
      </c>
    </row>
    <row r="119" spans="1:11" ht="18.75" customHeight="1">
      <c r="A119" s="3101" t="s">
        <v>2318</v>
      </c>
      <c r="B119" s="3101"/>
      <c r="C119" s="3101"/>
      <c r="D119" s="3146" t="e">
        <f ca="1">NUMBERSTRING(INT(D118*10000),2)&amp;"元整"</f>
        <v>#REF!</v>
      </c>
      <c r="E119" s="3147"/>
      <c r="F119" s="3146" t="e">
        <f ca="1">NUMBERSTRING(INT(F118*10000),2)&amp;"元整"</f>
        <v>#REF!</v>
      </c>
      <c r="G119" s="3147"/>
      <c r="H119" s="3146" t="str">
        <f ca="1">NUMBERSTRING(INT(H118*10000),2)&amp;"元整"</f>
        <v>柒亿肆仟肆佰捌拾肆万元整</v>
      </c>
      <c r="I119" s="3147"/>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
      </c>
      <c r="B122" s="3152"/>
      <c r="C122" s="3152"/>
      <c r="D122" s="3141">
        <f ca="1">H107</f>
        <v>74484</v>
      </c>
      <c r="E122" s="3142"/>
      <c r="F122" s="3142"/>
      <c r="G122" s="3142"/>
      <c r="H122" s="3142"/>
      <c r="I122" s="3143"/>
    </row>
    <row r="123" spans="1:11" ht="18.75" customHeight="1">
      <c r="A123" s="3101" t="s">
        <v>2318</v>
      </c>
      <c r="B123" s="3101"/>
      <c r="C123" s="3101"/>
      <c r="D123" s="3146" t="str">
        <f ca="1">NUMBERSTRING(INT(D122*10000),2)&amp;"元整"</f>
        <v>柒亿肆仟肆佰捌拾肆万元整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1" t="s">
        <v>2318</v>
      </c>
      <c r="B125" s="3101"/>
      <c r="C125" s="3101"/>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1" t="s">
        <v>2318</v>
      </c>
      <c r="B127" s="3101"/>
      <c r="C127" s="3101"/>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32464</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4870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1" t="s">
        <v>2457</v>
      </c>
    </row>
    <row r="43" spans="1:7" ht="13.5" customHeight="1">
      <c r="A43" s="952" t="s">
        <v>792</v>
      </c>
      <c r="B43" s="259" t="s">
        <v>2411</v>
      </c>
      <c r="C43" s="282">
        <f ca="1">ROUND(IF('数据-取费表'!B22&lt;=1,C39*F22*'数据-取费表'!B20/2,C39*(POWER((1+F22),'数据-取费表'!B20/2)-1)),0)</f>
        <v>197953</v>
      </c>
      <c r="D43" s="282"/>
      <c r="E43" s="282"/>
      <c r="F43" s="283"/>
      <c r="G43" s="3222"/>
    </row>
    <row r="44" spans="1:7" ht="13.5" customHeight="1">
      <c r="A44" s="952" t="s">
        <v>793</v>
      </c>
      <c r="B44" s="259" t="s">
        <v>2412</v>
      </c>
      <c r="C44" s="282">
        <f ca="1">ROUND(IF('数据-取费表'!B22&lt;=1,C40*F22*'数据-取费表'!B20/2,C40*(POWER((1+F22),'数据-取费表'!B20/2)-1)),4)</f>
        <v>1E-3</v>
      </c>
      <c r="D44" s="282"/>
      <c r="E44" s="282"/>
      <c r="F44" s="283"/>
      <c r="G44" s="3223"/>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287385821</v>
      </c>
      <c r="D51" s="276"/>
      <c r="E51" s="276"/>
      <c r="F51" s="308"/>
      <c r="G51" s="278" t="s">
        <v>2426</v>
      </c>
    </row>
    <row r="52" spans="1:7" s="252" customFormat="1" ht="16.5" thickBot="1">
      <c r="A52" s="309" t="s">
        <v>2427</v>
      </c>
      <c r="B52" s="310"/>
      <c r="C52" s="311">
        <f ca="1">C31+C51</f>
        <v>324642099</v>
      </c>
      <c r="D52" s="310"/>
      <c r="E52" s="310"/>
      <c r="F52" s="310"/>
      <c r="G52" s="312"/>
    </row>
    <row r="55" spans="1:7" ht="15">
      <c r="B55" s="314" t="s">
        <v>2428</v>
      </c>
      <c r="C55" s="315"/>
    </row>
    <row r="56" spans="1:7">
      <c r="B56" s="317" t="s">
        <v>1509</v>
      </c>
      <c r="C56" s="319">
        <f ca="1">1-C57</f>
        <v>0.11499999999999999</v>
      </c>
    </row>
    <row r="57" spans="1:7">
      <c r="B57" s="317" t="s">
        <v>1510</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5" t="str">
        <f>项目基本情况!B1</f>
        <v>北京市房地产市场价值预评估</v>
      </c>
      <c r="C37" s="3035"/>
      <c r="D37" s="3035"/>
      <c r="E37" s="3035"/>
      <c r="F37" s="3035"/>
      <c r="G37" s="3035"/>
      <c r="H37" s="3035"/>
      <c r="I37" s="3035"/>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 zoomScaleNormal="100" zoomScaleSheetLayoutView="100" zoomScalePageLayoutView="80" workbookViewId="0">
      <selection activeCell="K39" sqref="K39"/>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3124</v>
      </c>
      <c r="H1" s="2420" t="str">
        <f>IF(G1="现房","——","估价对象范围")</f>
        <v>——</v>
      </c>
      <c r="I1" s="2421"/>
    </row>
    <row r="2" spans="1:12" ht="21.75" customHeight="1" thickBot="1">
      <c r="A2" s="3200" t="str">
        <f>项目基本情况!S2</f>
        <v>北京市房地产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4" t="s">
        <v>2121</v>
      </c>
      <c r="B4" s="2425" t="s">
        <v>2122</v>
      </c>
      <c r="C4" s="2426" t="s">
        <v>3156</v>
      </c>
      <c r="D4" s="2426" t="s">
        <v>3069</v>
      </c>
      <c r="E4" s="3184" t="s">
        <v>2123</v>
      </c>
      <c r="F4" s="3197"/>
      <c r="G4" s="3197"/>
      <c r="H4" s="3197"/>
      <c r="I4" s="3185"/>
      <c r="K4" s="2427"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5" t="s">
        <v>2124</v>
      </c>
      <c r="B5" s="3101">
        <v>25</v>
      </c>
      <c r="C5" s="3205"/>
      <c r="D5" s="3193"/>
      <c r="E5" s="140" t="s">
        <v>2125</v>
      </c>
      <c r="F5" s="2428"/>
      <c r="G5" s="2428"/>
      <c r="H5" s="2428"/>
      <c r="I5" s="1829"/>
    </row>
    <row r="6" spans="1:12" ht="12.75">
      <c r="A6" s="3175"/>
      <c r="B6" s="3101"/>
      <c r="C6" s="3207"/>
      <c r="D6" s="3193"/>
      <c r="E6" s="140" t="s">
        <v>2126</v>
      </c>
      <c r="F6" s="2428"/>
      <c r="G6" s="2428"/>
      <c r="H6" s="2428"/>
      <c r="I6" s="1829"/>
    </row>
    <row r="7" spans="1:12" ht="12.75">
      <c r="A7" s="3175"/>
      <c r="B7" s="3101"/>
      <c r="C7" s="3206"/>
      <c r="D7" s="3193"/>
      <c r="E7" s="140" t="s">
        <v>2127</v>
      </c>
      <c r="F7" s="2428"/>
      <c r="G7" s="2428"/>
      <c r="H7" s="2428"/>
      <c r="I7" s="1829"/>
    </row>
    <row r="8" spans="1:12" ht="12.75">
      <c r="A8" s="3175" t="s">
        <v>2128</v>
      </c>
      <c r="B8" s="3101">
        <v>15</v>
      </c>
      <c r="C8" s="3205"/>
      <c r="D8" s="3193"/>
      <c r="E8" s="140" t="s">
        <v>2129</v>
      </c>
      <c r="F8" s="2428"/>
      <c r="G8" s="2428"/>
      <c r="H8" s="2428"/>
      <c r="I8" s="1829"/>
    </row>
    <row r="9" spans="1:12" ht="12.75">
      <c r="A9" s="3175"/>
      <c r="B9" s="3101"/>
      <c r="C9" s="3206"/>
      <c r="D9" s="3193"/>
      <c r="E9" s="140" t="s">
        <v>2130</v>
      </c>
      <c r="F9" s="2428"/>
      <c r="G9" s="2428"/>
      <c r="H9" s="2428"/>
      <c r="I9" s="1829"/>
    </row>
    <row r="10" spans="1:12" ht="12.75">
      <c r="A10" s="3175" t="s">
        <v>2131</v>
      </c>
      <c r="B10" s="3101">
        <v>15</v>
      </c>
      <c r="C10" s="3205"/>
      <c r="D10" s="3193"/>
      <c r="E10" s="140" t="s">
        <v>2132</v>
      </c>
      <c r="F10" s="2428"/>
      <c r="G10" s="2428"/>
      <c r="H10" s="2428"/>
      <c r="I10" s="1829"/>
    </row>
    <row r="11" spans="1:12" ht="12.75">
      <c r="A11" s="3175"/>
      <c r="B11" s="3101"/>
      <c r="C11" s="3206"/>
      <c r="D11" s="3193"/>
      <c r="E11" s="140" t="s">
        <v>2133</v>
      </c>
      <c r="F11" s="2428"/>
      <c r="G11" s="2428"/>
      <c r="H11" s="2428"/>
      <c r="I11" s="1829"/>
    </row>
    <row r="12" spans="1:12" ht="12.75">
      <c r="A12" s="3175" t="s">
        <v>2134</v>
      </c>
      <c r="B12" s="3101">
        <v>15</v>
      </c>
      <c r="C12" s="3205"/>
      <c r="D12" s="3193"/>
      <c r="E12" s="140" t="s">
        <v>2135</v>
      </c>
      <c r="F12" s="2428"/>
      <c r="G12" s="2428"/>
      <c r="H12" s="2428"/>
      <c r="I12" s="1829"/>
    </row>
    <row r="13" spans="1:12" ht="12.75">
      <c r="A13" s="3175"/>
      <c r="B13" s="3101"/>
      <c r="C13" s="3206"/>
      <c r="D13" s="3193"/>
      <c r="E13" s="140" t="s">
        <v>2136</v>
      </c>
      <c r="F13" s="2428"/>
      <c r="G13" s="2428"/>
      <c r="H13" s="2428"/>
      <c r="I13" s="1829"/>
    </row>
    <row r="14" spans="1:12" ht="12.75">
      <c r="A14" s="3175" t="s">
        <v>2137</v>
      </c>
      <c r="B14" s="3101">
        <v>30</v>
      </c>
      <c r="C14" s="3205">
        <v>5</v>
      </c>
      <c r="D14" s="3193">
        <v>5</v>
      </c>
      <c r="E14" s="140" t="s">
        <v>2138</v>
      </c>
      <c r="F14" s="2428"/>
      <c r="G14" s="2428"/>
      <c r="H14" s="2428"/>
      <c r="I14" s="1829"/>
    </row>
    <row r="15" spans="1:12" ht="12.75">
      <c r="A15" s="3175"/>
      <c r="B15" s="3101"/>
      <c r="C15" s="3207"/>
      <c r="D15" s="3193"/>
      <c r="E15" s="140" t="s">
        <v>2139</v>
      </c>
      <c r="F15" s="2428"/>
      <c r="G15" s="2428"/>
      <c r="H15" s="2428"/>
      <c r="I15" s="1829"/>
    </row>
    <row r="16" spans="1:12" ht="12.75">
      <c r="A16" s="3175"/>
      <c r="B16" s="3101"/>
      <c r="C16" s="3206"/>
      <c r="D16" s="3193"/>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SUMIF(INDIRECT("'"&amp;C4&amp;"'"&amp;"!A:A"),'结果表-商业'!B19,INDIRECT("'"&amp;C4&amp;"'"&amp;"!B:B"))</f>
        <v>39513</v>
      </c>
      <c r="D19" s="144">
        <f ca="1">SUMIF(INDIRECT("'"&amp;D4&amp;"'"&amp;"!A:A"),'结果表-商业'!B19,INDIRECT("'"&amp;D4&amp;"'"&amp;"!B:B"))</f>
        <v>41882</v>
      </c>
      <c r="E19" s="2433" t="s">
        <v>2148</v>
      </c>
      <c r="F19" s="2434" t="s">
        <v>2147</v>
      </c>
      <c r="G19" s="145">
        <f ca="1">ROUND(C19*$C$18+D19*$D$18,0)</f>
        <v>40698</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SUMIF(INDIRECT("'"&amp;C4&amp;"'"&amp;"!A:A"),'结果表-商业'!B20,INDIRECT("'"&amp;C4&amp;"'"&amp;"!B:B"))</f>
        <v>21194</v>
      </c>
      <c r="D20" s="147">
        <f ca="1">SUMIF(INDIRECT("'"&amp;D4&amp;"'"&amp;"!A:A"),'结果表-商业'!B20,INDIRECT("'"&amp;D4&amp;"'"&amp;"!B:B"))</f>
        <v>22465</v>
      </c>
      <c r="E20" s="2436"/>
      <c r="F20" s="1248" t="s">
        <v>2151</v>
      </c>
      <c r="G20" s="148">
        <f ca="1">ROUND(C20*$C$18+D20*$D$18,0)</f>
        <v>21830</v>
      </c>
      <c r="H20" s="981" t="s">
        <v>2152</v>
      </c>
      <c r="I20" s="138"/>
    </row>
    <row r="21" spans="1:35" ht="15" customHeight="1" thickBot="1">
      <c r="A21" s="1001"/>
      <c r="B21" s="2437" t="s">
        <v>2153</v>
      </c>
      <c r="C21" s="787">
        <f ca="1">ROUND(C19*10000/L19,0)</f>
        <v>65242</v>
      </c>
      <c r="D21" s="788">
        <f ca="1">ROUND(D19*10000/L19,0)</f>
        <v>69153</v>
      </c>
      <c r="E21" s="1001"/>
      <c r="F21" s="2437" t="s">
        <v>2153</v>
      </c>
      <c r="G21" s="149">
        <f ca="1">ROUND(G19*10000/L19,0)</f>
        <v>67198</v>
      </c>
      <c r="H21" s="2438" t="s">
        <v>2152</v>
      </c>
      <c r="I21" s="138"/>
    </row>
    <row r="22" spans="1:35" ht="15" thickBot="1">
      <c r="A22" s="2279" t="s">
        <v>2154</v>
      </c>
      <c r="B22" s="2439"/>
      <c r="C22" s="2440"/>
      <c r="D22" s="789">
        <f ca="1">IF(C19&lt;D19,D19/C19-1,C19/D19-1)</f>
        <v>5.9954951534937795E-2</v>
      </c>
      <c r="E22" s="138"/>
      <c r="F22" s="138"/>
      <c r="G22" s="138"/>
      <c r="H22" s="138"/>
      <c r="I22" s="138"/>
    </row>
    <row r="23" spans="1:35" ht="13.5" thickBot="1">
      <c r="A23" s="2417"/>
      <c r="B23" s="2417"/>
      <c r="C23" s="2417"/>
      <c r="D23" s="2417"/>
      <c r="E23" s="138"/>
      <c r="F23" s="138"/>
      <c r="G23" s="138"/>
      <c r="H23" s="138"/>
      <c r="I23" s="138"/>
    </row>
    <row r="24" spans="1:35" ht="14.25">
      <c r="A24" s="3214" t="s">
        <v>2155</v>
      </c>
      <c r="B24" s="2434" t="s">
        <v>2147</v>
      </c>
      <c r="C24" s="145">
        <f>IF(B30=0,0,D30)</f>
        <v>0</v>
      </c>
      <c r="D24" s="2441"/>
      <c r="E24" s="138"/>
      <c r="F24" s="138"/>
      <c r="G24" s="138"/>
      <c r="H24" s="138"/>
      <c r="I24" s="138"/>
    </row>
    <row r="25" spans="1:35" ht="14.25">
      <c r="A25" s="3215"/>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40698</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4" t="s">
        <v>2169</v>
      </c>
      <c r="B36" s="2460" t="s">
        <v>2170</v>
      </c>
      <c r="C36" s="154"/>
      <c r="D36" s="2461"/>
      <c r="E36" s="2462"/>
      <c r="F36" s="2463"/>
      <c r="G36" s="138"/>
      <c r="H36" s="138"/>
      <c r="I36" s="138"/>
    </row>
    <row r="37" spans="1:15" ht="15.75" thickBot="1">
      <c r="A37" s="3195"/>
      <c r="B37" s="2265" t="s">
        <v>2171</v>
      </c>
      <c r="C37" s="156"/>
      <c r="D37" s="1393"/>
      <c r="E37" s="1393"/>
      <c r="F37" s="2463"/>
      <c r="G37" s="138"/>
      <c r="H37" s="138"/>
      <c r="I37" s="138"/>
    </row>
    <row r="38" spans="1:15" ht="15.75" thickBot="1">
      <c r="A38" s="319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1" t="s">
        <v>2183</v>
      </c>
      <c r="B45" s="3212"/>
      <c r="C45" s="3213"/>
      <c r="D45" s="164">
        <f ca="1">ROUND(H101*F45,0)</f>
        <v>40698</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79"/>
      <c r="I46" s="168"/>
      <c r="J46" s="2953">
        <v>1</v>
      </c>
      <c r="K46" s="3130" t="s">
        <v>2188</v>
      </c>
      <c r="L46" s="3130"/>
      <c r="M46" s="3131"/>
      <c r="N46" s="3131"/>
      <c r="O46" s="3131"/>
    </row>
    <row r="47" spans="1:15" ht="12" customHeight="1">
      <c r="A47" s="169" t="s">
        <v>2189</v>
      </c>
      <c r="B47" s="170"/>
      <c r="C47" s="171"/>
      <c r="D47" s="172" t="s">
        <v>2190</v>
      </c>
      <c r="E47" s="24" t="s">
        <v>2191</v>
      </c>
      <c r="F47" s="173" t="s">
        <v>2192</v>
      </c>
      <c r="G47" s="174" t="s">
        <v>2193</v>
      </c>
      <c r="H47" s="2479"/>
      <c r="I47" s="168"/>
      <c r="J47" s="2953">
        <v>2</v>
      </c>
      <c r="K47" s="3130" t="s">
        <v>2194</v>
      </c>
      <c r="L47" s="3130"/>
      <c r="M47" s="3132">
        <f>'数据-取费表'!B2</f>
        <v>43570</v>
      </c>
      <c r="N47" s="3132"/>
      <c r="O47" s="3132"/>
    </row>
    <row r="48" spans="1:15" ht="25.5">
      <c r="A48" s="3198" t="s">
        <v>2195</v>
      </c>
      <c r="B48" s="3199"/>
      <c r="C48" s="3199"/>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30" t="s">
        <v>2198</v>
      </c>
      <c r="L48" s="3130"/>
      <c r="M48" s="3133">
        <f ca="1">H101</f>
        <v>40698</v>
      </c>
      <c r="N48" s="3133"/>
      <c r="O48" s="3133"/>
    </row>
    <row r="49" spans="1:35" ht="25.5" customHeight="1">
      <c r="A49" s="176" t="s">
        <v>2199</v>
      </c>
      <c r="B49" s="3178" t="s">
        <v>2200</v>
      </c>
      <c r="C49" s="3178"/>
      <c r="D49" s="177">
        <v>0</v>
      </c>
      <c r="E49" s="23" t="s">
        <v>2201</v>
      </c>
      <c r="F49" s="28" t="s">
        <v>34</v>
      </c>
      <c r="G49" s="3159"/>
      <c r="H49" s="138"/>
      <c r="I49" s="2482"/>
      <c r="J49" s="2953">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customHeight="1">
      <c r="A50" s="178"/>
      <c r="B50" s="3178" t="s">
        <v>2202</v>
      </c>
      <c r="C50" s="3178"/>
      <c r="D50" s="179"/>
      <c r="E50" s="31"/>
      <c r="F50" s="180"/>
      <c r="G50" s="3160"/>
      <c r="H50" s="138"/>
      <c r="I50" s="2482"/>
      <c r="J50" s="3130" t="s">
        <v>2203</v>
      </c>
      <c r="K50" s="3130"/>
      <c r="L50" s="3130"/>
      <c r="M50" s="3130"/>
      <c r="N50" s="3130"/>
      <c r="O50" s="3130"/>
    </row>
    <row r="51" spans="1:35" ht="12" customHeight="1">
      <c r="A51" s="181"/>
      <c r="B51" s="3178" t="s">
        <v>2204</v>
      </c>
      <c r="C51" s="3178"/>
      <c r="D51" s="182"/>
      <c r="E51" s="30"/>
      <c r="F51" s="180"/>
      <c r="G51" s="3161"/>
      <c r="H51" s="138"/>
      <c r="I51" s="2482"/>
      <c r="J51" s="2946" t="s">
        <v>2205</v>
      </c>
      <c r="K51" s="3130" t="s">
        <v>2206</v>
      </c>
      <c r="L51" s="3130"/>
      <c r="M51" s="2946" t="s">
        <v>2207</v>
      </c>
      <c r="N51" s="2946" t="s">
        <v>2208</v>
      </c>
      <c r="O51" s="2946" t="s">
        <v>2209</v>
      </c>
    </row>
    <row r="52" spans="1:35" ht="24" customHeight="1">
      <c r="A52" s="183" t="s">
        <v>2210</v>
      </c>
      <c r="B52" s="3178" t="s">
        <v>2211</v>
      </c>
      <c r="C52" s="3178"/>
      <c r="D52" s="182">
        <f ca="1">ROUND(D45*'数据-取费表'!B41/(1+'数据-取费表'!C42),0)</f>
        <v>2132</v>
      </c>
      <c r="E52" s="11" t="s">
        <v>2212</v>
      </c>
      <c r="F52" s="184">
        <f>'数据-取费表'!B41</f>
        <v>5.5000000000000007E-2</v>
      </c>
      <c r="G52" s="2484"/>
      <c r="H52" s="138"/>
      <c r="I52" s="2482"/>
      <c r="J52" s="2953">
        <v>1</v>
      </c>
      <c r="K52" s="3153" t="s">
        <v>2213</v>
      </c>
      <c r="L52" s="3153"/>
      <c r="M52" s="1749">
        <f>D48</f>
        <v>0</v>
      </c>
      <c r="N52" s="2953" t="str">
        <f>E48</f>
        <v>销售额×税（费）率</v>
      </c>
      <c r="O52" s="1750" t="str">
        <f>F48</f>
        <v>免征</v>
      </c>
    </row>
    <row r="53" spans="1:35" ht="12" customHeight="1">
      <c r="A53" s="183" t="s">
        <v>2214</v>
      </c>
      <c r="B53" s="3179" t="s">
        <v>2215</v>
      </c>
      <c r="C53" s="3180"/>
      <c r="D53" s="182">
        <f ca="1">ROUND(D45*'数据-取费表'!B41/(1+'数据-取费表'!C42),0)</f>
        <v>2132</v>
      </c>
      <c r="E53" s="11" t="s">
        <v>2212</v>
      </c>
      <c r="F53" s="184">
        <f>'数据-取费表'!B41</f>
        <v>5.5000000000000007E-2</v>
      </c>
      <c r="G53" s="2484"/>
      <c r="H53" s="138"/>
      <c r="I53" s="2482"/>
      <c r="J53" s="2953">
        <v>2</v>
      </c>
      <c r="K53" s="3153" t="s">
        <v>2216</v>
      </c>
      <c r="L53" s="3153"/>
      <c r="M53" s="1749">
        <f t="shared" ref="M53:O54" ca="1" si="0">D55</f>
        <v>20</v>
      </c>
      <c r="N53" s="2953" t="str">
        <f t="shared" si="0"/>
        <v>销售额×税（费）率</v>
      </c>
      <c r="O53" s="1750">
        <f t="shared" si="0"/>
        <v>5.0000000000000001E-4</v>
      </c>
    </row>
    <row r="54" spans="1:35" ht="12" customHeight="1">
      <c r="A54" s="183" t="s">
        <v>2217</v>
      </c>
      <c r="B54" s="3179" t="s">
        <v>2218</v>
      </c>
      <c r="C54" s="3180"/>
      <c r="D54" s="182">
        <f ca="1">C68</f>
        <v>2132</v>
      </c>
      <c r="E54" s="30" t="s">
        <v>2219</v>
      </c>
      <c r="F54" s="184">
        <f>'数据-取费表'!B41</f>
        <v>5.5000000000000007E-2</v>
      </c>
      <c r="G54" s="2484"/>
      <c r="H54" s="2485"/>
      <c r="I54" s="2482"/>
      <c r="J54" s="2953">
        <v>3</v>
      </c>
      <c r="K54" s="3153" t="s">
        <v>2220</v>
      </c>
      <c r="L54" s="3153"/>
      <c r="M54" s="1749">
        <f t="shared" ca="1" si="0"/>
        <v>23072</v>
      </c>
      <c r="N54" s="2953" t="str">
        <f t="shared" si="0"/>
        <v>增值额×税（费）率</v>
      </c>
      <c r="O54" s="1751" t="str">
        <f t="shared" si="0"/>
        <v>——</v>
      </c>
    </row>
    <row r="55" spans="1:35" ht="24" customHeight="1">
      <c r="A55" s="3217" t="s">
        <v>2221</v>
      </c>
      <c r="B55" s="3199"/>
      <c r="C55" s="3199"/>
      <c r="D55" s="185">
        <f ca="1">IF(H55="个人住宅",0,ROUND(D45*I55,0))</f>
        <v>20</v>
      </c>
      <c r="E55" s="11" t="s">
        <v>2222</v>
      </c>
      <c r="F55" s="184">
        <f>IF(H55="正常",I55,"免征")</f>
        <v>5.0000000000000001E-4</v>
      </c>
      <c r="G55" s="2484"/>
      <c r="H55" s="2481" t="s">
        <v>2223</v>
      </c>
      <c r="I55" s="186">
        <f>'数据-取费表'!B49</f>
        <v>5.0000000000000001E-4</v>
      </c>
      <c r="J55" s="2953" t="str">
        <f>IF(H59="非个人房产","",4)</f>
        <v/>
      </c>
      <c r="K55" s="3153" t="str">
        <f>IF(H59="非个人房产","——","个人所得税")</f>
        <v>——</v>
      </c>
      <c r="L55" s="3153"/>
      <c r="M55" s="1752" t="str">
        <f>D59</f>
        <v>——</v>
      </c>
      <c r="N55" s="2954" t="str">
        <f>E59</f>
        <v>——</v>
      </c>
      <c r="O55" s="1753" t="str">
        <f>F59</f>
        <v>——</v>
      </c>
    </row>
    <row r="56" spans="1:35" ht="24.75">
      <c r="A56" s="3217" t="s">
        <v>2224</v>
      </c>
      <c r="B56" s="3199"/>
      <c r="C56" s="3199"/>
      <c r="D56" s="185">
        <f ca="1">IF(H56="个人住宅",D57,D58)</f>
        <v>23072</v>
      </c>
      <c r="E56" s="11" t="s">
        <v>2225</v>
      </c>
      <c r="F56" s="184" t="str">
        <f>IF(H56="正常",F58,"免征")</f>
        <v>——</v>
      </c>
      <c r="G56" s="2486" t="s">
        <v>2226</v>
      </c>
      <c r="H56" s="2487" t="s">
        <v>2223</v>
      </c>
      <c r="I56" s="2488"/>
      <c r="J56" s="2953" t="str">
        <f>IF(项目基本情况!K6="上海银行",IF(J55="",4,J55+1),"")</f>
        <v/>
      </c>
      <c r="K56" s="3136" t="str">
        <f>IF(项目基本情况!K6="上海银行","其他处置费用","")</f>
        <v/>
      </c>
      <c r="L56" s="3137"/>
      <c r="M56" s="1749"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4"/>
      <c r="H57" s="2488"/>
      <c r="I57" s="2488"/>
      <c r="J57" s="3153">
        <f>IF(AND(J55="",J56=""),4,IF(项目基本情况!K6="上海银行",'结果表-商业'!J56+1,'结果表-商业'!J55+1))</f>
        <v>4</v>
      </c>
      <c r="K57" s="3153" t="s">
        <v>2228</v>
      </c>
      <c r="L57" s="2489" t="s">
        <v>2229</v>
      </c>
      <c r="M57" s="1754"/>
      <c r="N57" s="1755">
        <f ca="1">SUMIF(M52:M56,"&lt;9e307")</f>
        <v>23092</v>
      </c>
      <c r="O57" s="2490"/>
      <c r="P57" s="1748" t="e">
        <f ca="1">N57/M49</f>
        <v>#VALUE!</v>
      </c>
    </row>
    <row r="58" spans="1:35" ht="24.75">
      <c r="A58" s="183" t="s">
        <v>2210</v>
      </c>
      <c r="B58" s="3184" t="s">
        <v>2230</v>
      </c>
      <c r="C58" s="3197"/>
      <c r="D58" s="185">
        <f ca="1">IF(H58="转让取得",C81,C97)</f>
        <v>23072</v>
      </c>
      <c r="E58" s="11" t="s">
        <v>2225</v>
      </c>
      <c r="F58" s="24" t="s">
        <v>34</v>
      </c>
      <c r="G58" s="2484"/>
      <c r="H58" s="2487" t="s">
        <v>2231</v>
      </c>
      <c r="I58" s="2488"/>
      <c r="J58" s="3153"/>
      <c r="K58" s="3153"/>
      <c r="L58" s="2489" t="s">
        <v>2232</v>
      </c>
      <c r="M58" s="1756"/>
      <c r="N58" s="2491" t="str">
        <f ca="1">NUMBERSTRING(INT(N57*10000),2)&amp;"元整"</f>
        <v>贰亿叁仟零玖拾贰万元整</v>
      </c>
      <c r="O58" s="2492"/>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5">
        <f>J57+1</f>
        <v>5</v>
      </c>
      <c r="K59" s="3153" t="s">
        <v>2235</v>
      </c>
      <c r="L59" s="2953" t="s">
        <v>2229</v>
      </c>
      <c r="M59" s="1757"/>
      <c r="N59" s="1758" t="e">
        <f ca="1">M49-N57</f>
        <v>#VALUE!</v>
      </c>
      <c r="O59" s="2494"/>
    </row>
    <row r="60" spans="1:35" ht="12" customHeight="1">
      <c r="A60" s="2495"/>
      <c r="B60" s="2417"/>
      <c r="C60" s="2417"/>
      <c r="D60" s="2417"/>
      <c r="E60" s="2165"/>
      <c r="F60" s="2488"/>
      <c r="G60" s="2488"/>
      <c r="H60" s="2496"/>
      <c r="I60" s="138"/>
      <c r="J60" s="3156"/>
      <c r="K60" s="3153"/>
      <c r="L60" s="2489" t="s">
        <v>2232</v>
      </c>
      <c r="M60" s="1756"/>
      <c r="N60" s="2491" t="e">
        <f ca="1">NUMBERSTRING(INT(N59*10000),2)&amp;"元整"</f>
        <v>#VALUE!</v>
      </c>
      <c r="O60" s="2492"/>
    </row>
    <row r="61" spans="1:35" ht="13.5" thickBot="1">
      <c r="A61" s="3216" t="s">
        <v>2236</v>
      </c>
      <c r="B61" s="3216"/>
      <c r="C61" s="3216"/>
      <c r="D61" s="3216"/>
      <c r="E61" s="3216"/>
      <c r="F61" s="2488"/>
      <c r="G61" s="2488"/>
      <c r="H61" s="2496"/>
      <c r="I61" s="138"/>
      <c r="J61" s="2953">
        <f>J59+1</f>
        <v>6</v>
      </c>
      <c r="K61" s="3153" t="s">
        <v>2237</v>
      </c>
      <c r="L61" s="3153"/>
      <c r="M61" s="1759"/>
      <c r="N61" s="1760" t="e">
        <f ca="1">ROUND(N59*10000/'数据-汇总表'!E3,0)</f>
        <v>#VALUE!</v>
      </c>
      <c r="O61" s="2497"/>
    </row>
    <row r="62" spans="1:35" ht="12.75">
      <c r="A62" s="3173" t="s">
        <v>2238</v>
      </c>
      <c r="B62" s="3174"/>
      <c r="C62" s="2958"/>
      <c r="D62" s="2958" t="s">
        <v>2239</v>
      </c>
      <c r="E62" s="192" t="s">
        <v>2240</v>
      </c>
      <c r="F62" s="2488"/>
      <c r="G62" s="2488"/>
      <c r="H62" s="2496"/>
      <c r="I62" s="138"/>
    </row>
    <row r="63" spans="1:35" ht="12.75">
      <c r="A63" s="203" t="s">
        <v>775</v>
      </c>
      <c r="B63" s="193" t="s">
        <v>2241</v>
      </c>
      <c r="C63" s="194">
        <f ca="1">ROUND((C64+C65)/(1+'数据-取费表'!C42),0)</f>
        <v>38760</v>
      </c>
      <c r="D63" s="195"/>
      <c r="E63" s="196"/>
      <c r="F63" s="2488"/>
      <c r="G63" s="2488"/>
      <c r="H63" s="2496"/>
      <c r="I63" s="138"/>
      <c r="J63" s="3138"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40698</v>
      </c>
      <c r="D64" s="200" t="s">
        <v>32</v>
      </c>
      <c r="E64" s="201"/>
      <c r="F64" s="2488"/>
      <c r="G64" s="2488"/>
      <c r="H64" s="2496"/>
      <c r="I64" s="138"/>
      <c r="J64" s="3138"/>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8"/>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8"/>
      <c r="K66" s="2949" t="s">
        <v>2250</v>
      </c>
      <c r="L66" s="1747" t="e">
        <f>M49*0.5%</f>
        <v>#VALUE!</v>
      </c>
      <c r="M66" s="24" t="e">
        <f>IF(L66&gt;0.5,0.5,ROUND(L66,0))</f>
        <v>#VALUE!</v>
      </c>
      <c r="N66" s="138" t="s">
        <v>2251</v>
      </c>
      <c r="Z66" s="2422"/>
      <c r="AI66" s="2423"/>
    </row>
    <row r="67" spans="1:35" ht="14.25" customHeight="1">
      <c r="A67" s="203" t="s">
        <v>773</v>
      </c>
      <c r="B67" s="204" t="s">
        <v>2252</v>
      </c>
      <c r="C67" s="207">
        <f ca="1">C63-C66</f>
        <v>38760</v>
      </c>
      <c r="D67" s="200" t="s">
        <v>32</v>
      </c>
      <c r="E67" s="201"/>
      <c r="F67" s="2488"/>
      <c r="G67" s="2488"/>
      <c r="H67" s="2496"/>
      <c r="I67" s="138"/>
      <c r="J67" s="3138"/>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2132</v>
      </c>
      <c r="D68" s="211">
        <f>'数据-取费表'!B41</f>
        <v>5.5000000000000007E-2</v>
      </c>
      <c r="E68" s="212"/>
      <c r="F68" s="2488"/>
      <c r="G68" s="2488"/>
      <c r="H68" s="2496"/>
      <c r="I68" s="138"/>
      <c r="J68" s="3138"/>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2" t="s">
        <v>2257</v>
      </c>
      <c r="B70" s="3183"/>
      <c r="C70" s="3183"/>
      <c r="D70" s="3183"/>
      <c r="E70" s="3183"/>
      <c r="F70" s="3183"/>
      <c r="G70" s="3183"/>
      <c r="H70" s="318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3" t="s">
        <v>2238</v>
      </c>
      <c r="B71" s="3174"/>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38760</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9" t="s">
        <v>2266</v>
      </c>
      <c r="F76" s="3178"/>
      <c r="G76" s="3178"/>
      <c r="H76" s="318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70" t="s">
        <v>2271</v>
      </c>
      <c r="F78" s="3171"/>
      <c r="G78" s="3171"/>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38566</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198.79381443298968</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23072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2" t="s">
        <v>2275</v>
      </c>
      <c r="B83" s="3183"/>
      <c r="C83" s="3183"/>
      <c r="D83" s="3183"/>
      <c r="E83" s="3183"/>
      <c r="F83" s="3183"/>
      <c r="G83" s="3183"/>
      <c r="H83" s="318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3" t="s">
        <v>2238</v>
      </c>
      <c r="B84" s="3174"/>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38760</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0" t="s">
        <v>2284</v>
      </c>
      <c r="F91" s="3171"/>
      <c r="G91" s="317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0" t="s">
        <v>2288</v>
      </c>
      <c r="F92" s="3171"/>
      <c r="G92" s="3171"/>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70" t="s">
        <v>2271</v>
      </c>
      <c r="F93" s="3171"/>
      <c r="G93" s="3171"/>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8" t="s">
        <v>2292</v>
      </c>
      <c r="F94" s="3219"/>
      <c r="G94" s="3219"/>
      <c r="H94" s="322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38566</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198.79381443298968</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23072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54"/>
      <c r="E100" s="3123" t="s">
        <v>2295</v>
      </c>
      <c r="F100" s="3123"/>
      <c r="G100" s="3123"/>
      <c r="H100" s="3154"/>
      <c r="I100" s="138"/>
    </row>
    <row r="101" spans="1:35" ht="18.75" customHeight="1">
      <c r="A101" s="3162" t="s">
        <v>2296</v>
      </c>
      <c r="B101" s="3163"/>
      <c r="C101" s="734" t="str">
        <f>C4</f>
        <v>典型户型修正</v>
      </c>
      <c r="D101" s="735" t="str">
        <f>D4</f>
        <v>收益法-商业</v>
      </c>
      <c r="E101" s="3134" t="s">
        <v>2297</v>
      </c>
      <c r="F101" s="3135"/>
      <c r="G101" s="2519" t="s">
        <v>2298</v>
      </c>
      <c r="H101" s="1046">
        <f ca="1">H118</f>
        <v>40698</v>
      </c>
      <c r="I101" s="138"/>
    </row>
    <row r="102" spans="1:35" ht="18.75" customHeight="1">
      <c r="A102" s="3164" t="s">
        <v>2299</v>
      </c>
      <c r="B102" s="2519" t="s">
        <v>2298</v>
      </c>
      <c r="C102" s="734">
        <f ca="1">C19</f>
        <v>39513</v>
      </c>
      <c r="D102" s="735">
        <f ca="1">D19</f>
        <v>41882</v>
      </c>
      <c r="E102" s="3134"/>
      <c r="F102" s="3135"/>
      <c r="G102" s="2519" t="s">
        <v>2300</v>
      </c>
      <c r="H102" s="371">
        <f ca="1">I118</f>
        <v>21830</v>
      </c>
      <c r="I102" s="138"/>
    </row>
    <row r="103" spans="1:35" ht="42.75" customHeight="1">
      <c r="A103" s="3164"/>
      <c r="B103" s="2519" t="s">
        <v>2300</v>
      </c>
      <c r="C103" s="736">
        <f ca="1">C20</f>
        <v>21194</v>
      </c>
      <c r="D103" s="737">
        <f ca="1">D20</f>
        <v>22465</v>
      </c>
      <c r="E103" s="3128" t="s">
        <v>2301</v>
      </c>
      <c r="F103" s="3129"/>
      <c r="G103" s="2520" t="s">
        <v>2302</v>
      </c>
      <c r="H103" s="1046">
        <f>IF(D36="正常操作",H104+H105+H106,H105+H106)</f>
        <v>0</v>
      </c>
      <c r="I103" s="138"/>
    </row>
    <row r="104" spans="1:35" ht="18.75" customHeight="1">
      <c r="A104" s="3164" t="s">
        <v>2303</v>
      </c>
      <c r="B104" s="2521" t="s">
        <v>2298</v>
      </c>
      <c r="C104" s="738">
        <f ca="1">H118</f>
        <v>40698</v>
      </c>
      <c r="D104" s="739"/>
      <c r="E104" s="2265" t="s">
        <v>2304</v>
      </c>
      <c r="F104" s="2257"/>
      <c r="G104" s="2520" t="s">
        <v>2302</v>
      </c>
      <c r="H104" s="1047">
        <f>IF(D36="同一抵押权人同一抵押物续贷",C36&amp;"（未扣减，详见特别提示）",C36)</f>
        <v>0</v>
      </c>
      <c r="I104" s="138"/>
    </row>
    <row r="105" spans="1:35" ht="18.75" customHeight="1" thickBot="1">
      <c r="A105" s="3176"/>
      <c r="B105" s="2522" t="s">
        <v>2300</v>
      </c>
      <c r="C105" s="740">
        <f ca="1">I118</f>
        <v>21830</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5" t="str">
        <f>IF(项目基本情况!E8="已注销","——","3.房地产抵押价值")</f>
        <v>3.房地产抵押价值</v>
      </c>
      <c r="F107" s="3135"/>
      <c r="G107" s="2519" t="s">
        <v>2298</v>
      </c>
      <c r="H107" s="1046">
        <f ca="1">IF(E107="——","——",H101-H103)</f>
        <v>40698</v>
      </c>
      <c r="I107" s="138"/>
    </row>
    <row r="108" spans="1:35" ht="18.75" customHeight="1">
      <c r="A108" s="138"/>
      <c r="B108" s="138"/>
      <c r="C108" s="138"/>
      <c r="D108" s="138"/>
      <c r="E108" s="3165"/>
      <c r="F108" s="3135"/>
      <c r="G108" s="2519" t="s">
        <v>2300</v>
      </c>
      <c r="H108" s="371">
        <f ca="1">ROUND(H107*10000/'数据-汇总表'!E3,0)</f>
        <v>6106</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9" t="s">
        <v>2298</v>
      </c>
      <c r="H109" s="348" t="str">
        <f>IF(E109="——","——",H101-H105-H106)</f>
        <v>——</v>
      </c>
      <c r="I109" s="138"/>
    </row>
    <row r="110" spans="1:35" ht="18.75" customHeight="1">
      <c r="A110" s="138"/>
      <c r="B110" s="138"/>
      <c r="C110" s="138"/>
      <c r="D110" s="138"/>
      <c r="E110" s="3165"/>
      <c r="F110" s="3135"/>
      <c r="G110" s="2519"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2298</v>
      </c>
      <c r="H111" s="1046" t="str">
        <f>IF(E111="——","——",N59)</f>
        <v>——</v>
      </c>
      <c r="I111" s="138"/>
    </row>
    <row r="112" spans="1:35" ht="18.75" customHeight="1" thickBot="1">
      <c r="A112" s="138"/>
      <c r="B112" s="138"/>
      <c r="C112" s="138"/>
      <c r="D112" s="138"/>
      <c r="E112" s="3168"/>
      <c r="F112" s="3169"/>
      <c r="G112" s="2524" t="s">
        <v>2300</v>
      </c>
      <c r="H112" s="788"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101" t="s">
        <v>2309</v>
      </c>
      <c r="B116" s="3144" t="s">
        <v>2310</v>
      </c>
      <c r="C116" s="3144" t="s">
        <v>2311</v>
      </c>
      <c r="D116" s="3150" t="s">
        <v>2312</v>
      </c>
      <c r="E116" s="3151"/>
      <c r="F116" s="3186" t="s">
        <v>2313</v>
      </c>
      <c r="G116" s="3186"/>
      <c r="H116" s="3101" t="s">
        <v>2314</v>
      </c>
      <c r="I116" s="3101"/>
    </row>
    <row r="117" spans="1:11" ht="18.75" customHeight="1">
      <c r="A117" s="3101"/>
      <c r="B117" s="3145"/>
      <c r="C117" s="3145"/>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18643.309999999998</v>
      </c>
      <c r="C118" s="2945">
        <f>M19</f>
        <v>6056.4</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40698</v>
      </c>
      <c r="I118" s="2945">
        <f ca="1">ROUND(IF(D32="楼面单价",C32,H118*10000/B118),0)</f>
        <v>21830</v>
      </c>
    </row>
    <row r="119" spans="1:11" ht="18.75" customHeight="1">
      <c r="A119" s="3101" t="s">
        <v>2318</v>
      </c>
      <c r="B119" s="3101"/>
      <c r="C119" s="3101"/>
      <c r="D119" s="3146" t="e">
        <f ca="1">NUMBERSTRING(INT(D118*10000),2)&amp;"元整"</f>
        <v>#REF!</v>
      </c>
      <c r="E119" s="3147"/>
      <c r="F119" s="3146" t="e">
        <f ca="1">NUMBERSTRING(INT(F118*10000),2)&amp;"元整"</f>
        <v>#REF!</v>
      </c>
      <c r="G119" s="3147"/>
      <c r="H119" s="3146" t="str">
        <f ca="1">NUMBERSTRING(INT(H118*10000),2)&amp;"元整"</f>
        <v>肆亿零陆佰玖拾捌万元整</v>
      </c>
      <c r="I119" s="3147"/>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
      </c>
      <c r="B122" s="3152"/>
      <c r="C122" s="3152"/>
      <c r="D122" s="3141">
        <f ca="1">H107</f>
        <v>40698</v>
      </c>
      <c r="E122" s="3142"/>
      <c r="F122" s="3142"/>
      <c r="G122" s="3142"/>
      <c r="H122" s="3142"/>
      <c r="I122" s="3143"/>
    </row>
    <row r="123" spans="1:11" ht="18.75" customHeight="1">
      <c r="A123" s="3101" t="s">
        <v>2318</v>
      </c>
      <c r="B123" s="3101"/>
      <c r="C123" s="3101"/>
      <c r="D123" s="3146" t="str">
        <f ca="1">NUMBERSTRING(INT(D122*10000),2)&amp;"元整"</f>
        <v>肆亿零陆佰玖拾捌万元整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1" t="s">
        <v>2318</v>
      </c>
      <c r="B125" s="3101"/>
      <c r="C125" s="3101"/>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1" t="s">
        <v>2318</v>
      </c>
      <c r="B127" s="3101"/>
      <c r="C127" s="3101"/>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D125" sqref="D125:I12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3307</v>
      </c>
      <c r="D1" s="2417"/>
      <c r="E1" s="2417"/>
      <c r="F1" s="2419" t="s">
        <v>2119</v>
      </c>
      <c r="G1" s="2069" t="s">
        <v>3124</v>
      </c>
      <c r="H1" s="2420" t="str">
        <f>IF(G1="现房","——","估价对象范围")</f>
        <v>——</v>
      </c>
      <c r="I1" s="2421"/>
    </row>
    <row r="2" spans="1:12" ht="21.75" customHeight="1" thickBot="1">
      <c r="A2" s="3200" t="str">
        <f>项目基本情况!S2</f>
        <v>北京市房地产</v>
      </c>
      <c r="B2" s="3201"/>
      <c r="C2" s="3201"/>
      <c r="D2" s="3201"/>
      <c r="E2" s="3201"/>
      <c r="F2" s="3201"/>
      <c r="G2" s="3201"/>
      <c r="H2" s="3201"/>
      <c r="I2" s="3202"/>
    </row>
    <row r="3" spans="1:12" ht="12.75">
      <c r="A3" s="3203" t="s">
        <v>2120</v>
      </c>
      <c r="B3" s="3204"/>
      <c r="C3" s="3204"/>
      <c r="D3" s="3204"/>
      <c r="E3" s="3204"/>
      <c r="F3" s="3204"/>
      <c r="G3" s="3204"/>
      <c r="H3" s="3204"/>
      <c r="I3" s="3204"/>
    </row>
    <row r="4" spans="1:12" ht="14.25">
      <c r="A4" s="2424" t="s">
        <v>2121</v>
      </c>
      <c r="B4" s="2425" t="s">
        <v>2122</v>
      </c>
      <c r="C4" s="2426" t="s">
        <v>3316</v>
      </c>
      <c r="D4" s="2426" t="s">
        <v>3311</v>
      </c>
      <c r="E4" s="3184" t="s">
        <v>2123</v>
      </c>
      <c r="F4" s="3197"/>
      <c r="G4" s="3197"/>
      <c r="H4" s="3197"/>
      <c r="I4" s="3185"/>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75" t="s">
        <v>2124</v>
      </c>
      <c r="B5" s="3101">
        <v>25</v>
      </c>
      <c r="C5" s="3205"/>
      <c r="D5" s="3193"/>
      <c r="E5" s="140" t="s">
        <v>2125</v>
      </c>
      <c r="F5" s="2428"/>
      <c r="G5" s="2428"/>
      <c r="H5" s="2428"/>
      <c r="I5" s="1829"/>
    </row>
    <row r="6" spans="1:12" ht="12.75">
      <c r="A6" s="3175"/>
      <c r="B6" s="3101"/>
      <c r="C6" s="3207"/>
      <c r="D6" s="3193"/>
      <c r="E6" s="140" t="s">
        <v>2126</v>
      </c>
      <c r="F6" s="2428"/>
      <c r="G6" s="2428"/>
      <c r="H6" s="2428"/>
      <c r="I6" s="1829"/>
    </row>
    <row r="7" spans="1:12" ht="12.75">
      <c r="A7" s="3175"/>
      <c r="B7" s="3101"/>
      <c r="C7" s="3206"/>
      <c r="D7" s="3193"/>
      <c r="E7" s="140" t="s">
        <v>2127</v>
      </c>
      <c r="F7" s="2428"/>
      <c r="G7" s="2428"/>
      <c r="H7" s="2428"/>
      <c r="I7" s="1829"/>
    </row>
    <row r="8" spans="1:12" ht="12.75">
      <c r="A8" s="3175" t="s">
        <v>2128</v>
      </c>
      <c r="B8" s="3101">
        <v>15</v>
      </c>
      <c r="C8" s="3205"/>
      <c r="D8" s="3193"/>
      <c r="E8" s="140" t="s">
        <v>2129</v>
      </c>
      <c r="F8" s="2428"/>
      <c r="G8" s="2428"/>
      <c r="H8" s="2428"/>
      <c r="I8" s="1829"/>
    </row>
    <row r="9" spans="1:12" ht="12.75">
      <c r="A9" s="3175"/>
      <c r="B9" s="3101"/>
      <c r="C9" s="3206"/>
      <c r="D9" s="3193"/>
      <c r="E9" s="140" t="s">
        <v>2130</v>
      </c>
      <c r="F9" s="2428"/>
      <c r="G9" s="2428"/>
      <c r="H9" s="2428"/>
      <c r="I9" s="1829"/>
    </row>
    <row r="10" spans="1:12" ht="12.75">
      <c r="A10" s="3175" t="s">
        <v>2131</v>
      </c>
      <c r="B10" s="3101">
        <v>15</v>
      </c>
      <c r="C10" s="3205"/>
      <c r="D10" s="3193"/>
      <c r="E10" s="140" t="s">
        <v>2132</v>
      </c>
      <c r="F10" s="2428"/>
      <c r="G10" s="2428"/>
      <c r="H10" s="2428"/>
      <c r="I10" s="1829"/>
    </row>
    <row r="11" spans="1:12" ht="12.75">
      <c r="A11" s="3175"/>
      <c r="B11" s="3101"/>
      <c r="C11" s="3206"/>
      <c r="D11" s="3193"/>
      <c r="E11" s="140" t="s">
        <v>2133</v>
      </c>
      <c r="F11" s="2428"/>
      <c r="G11" s="2428"/>
      <c r="H11" s="2428"/>
      <c r="I11" s="1829"/>
    </row>
    <row r="12" spans="1:12" ht="12.75">
      <c r="A12" s="3175" t="s">
        <v>2134</v>
      </c>
      <c r="B12" s="3101">
        <v>15</v>
      </c>
      <c r="C12" s="3205"/>
      <c r="D12" s="3193"/>
      <c r="E12" s="140" t="s">
        <v>2135</v>
      </c>
      <c r="F12" s="2428"/>
      <c r="G12" s="2428"/>
      <c r="H12" s="2428"/>
      <c r="I12" s="1829"/>
    </row>
    <row r="13" spans="1:12" ht="12.75">
      <c r="A13" s="3175"/>
      <c r="B13" s="3101"/>
      <c r="C13" s="3206"/>
      <c r="D13" s="3193"/>
      <c r="E13" s="140" t="s">
        <v>2136</v>
      </c>
      <c r="F13" s="2428"/>
      <c r="G13" s="2428"/>
      <c r="H13" s="2428"/>
      <c r="I13" s="1829"/>
    </row>
    <row r="14" spans="1:12" ht="12.75">
      <c r="A14" s="3175" t="s">
        <v>2137</v>
      </c>
      <c r="B14" s="3101">
        <v>30</v>
      </c>
      <c r="C14" s="3205">
        <v>5</v>
      </c>
      <c r="D14" s="3193">
        <v>5</v>
      </c>
      <c r="E14" s="140" t="s">
        <v>2138</v>
      </c>
      <c r="F14" s="2428"/>
      <c r="G14" s="2428"/>
      <c r="H14" s="2428"/>
      <c r="I14" s="1829"/>
    </row>
    <row r="15" spans="1:12" ht="12.75">
      <c r="A15" s="3175"/>
      <c r="B15" s="3101"/>
      <c r="C15" s="3207"/>
      <c r="D15" s="3193"/>
      <c r="E15" s="140" t="s">
        <v>2139</v>
      </c>
      <c r="F15" s="2428"/>
      <c r="G15" s="2428"/>
      <c r="H15" s="2428"/>
      <c r="I15" s="1829"/>
    </row>
    <row r="16" spans="1:12" ht="12.75">
      <c r="A16" s="3175"/>
      <c r="B16" s="3101"/>
      <c r="C16" s="3206"/>
      <c r="D16" s="3193"/>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34018</v>
      </c>
      <c r="E19" s="2433" t="s">
        <v>2148</v>
      </c>
      <c r="F19" s="2434" t="s">
        <v>2147</v>
      </c>
      <c r="G19" s="145">
        <f ca="1">ROUND(C19*$C$18+D19*$D$18,0)</f>
        <v>36989</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20991</v>
      </c>
      <c r="E20" s="2436"/>
      <c r="F20" s="1248" t="s">
        <v>2151</v>
      </c>
      <c r="G20" s="148">
        <f ca="1">ROUND(C20*$C$18+D20*$D$18,0)</f>
        <v>22824</v>
      </c>
      <c r="H20" s="981" t="s">
        <v>2152</v>
      </c>
      <c r="I20" s="138"/>
    </row>
    <row r="21" spans="1:35" ht="15" customHeight="1" thickBot="1">
      <c r="A21" s="1001"/>
      <c r="B21" s="2437" t="s">
        <v>2153</v>
      </c>
      <c r="C21" s="787">
        <f ca="1">ROUND(C19*10000/L19,0)</f>
        <v>75902</v>
      </c>
      <c r="D21" s="788">
        <f ca="1">ROUND(D19*10000/L19,0)</f>
        <v>64615</v>
      </c>
      <c r="E21" s="1001"/>
      <c r="F21" s="2437" t="s">
        <v>2153</v>
      </c>
      <c r="G21" s="149">
        <f ca="1">ROUND(G19*10000/L19,0)</f>
        <v>70259</v>
      </c>
      <c r="H21" s="2438" t="s">
        <v>2152</v>
      </c>
      <c r="I21" s="138"/>
    </row>
    <row r="22" spans="1:35" ht="15" thickBot="1">
      <c r="A22" s="2279" t="s">
        <v>2154</v>
      </c>
      <c r="B22" s="2439"/>
      <c r="C22" s="2440"/>
      <c r="D22" s="789">
        <f ca="1">IF(C19&lt;D19,D19/C19-1,C19/D19-1)</f>
        <v>0.17467223234758067</v>
      </c>
      <c r="E22" s="138"/>
      <c r="F22" s="138"/>
      <c r="G22" s="138"/>
      <c r="H22" s="138"/>
      <c r="I22" s="138"/>
    </row>
    <row r="23" spans="1:35" ht="13.5" thickBot="1">
      <c r="A23" s="2417"/>
      <c r="B23" s="2417"/>
      <c r="C23" s="2417"/>
      <c r="D23" s="2417"/>
      <c r="E23" s="138"/>
      <c r="F23" s="138"/>
      <c r="G23" s="138"/>
      <c r="H23" s="138"/>
      <c r="I23" s="138"/>
    </row>
    <row r="24" spans="1:35" ht="14.25">
      <c r="A24" s="3214" t="s">
        <v>2155</v>
      </c>
      <c r="B24" s="2434" t="s">
        <v>2147</v>
      </c>
      <c r="C24" s="145">
        <f>IF(B30=0,0,D30)</f>
        <v>0</v>
      </c>
      <c r="D24" s="2441"/>
      <c r="E24" s="138"/>
      <c r="F24" s="138"/>
      <c r="G24" s="138"/>
      <c r="H24" s="138"/>
      <c r="I24" s="138"/>
    </row>
    <row r="25" spans="1:35" ht="14.25">
      <c r="A25" s="3215"/>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36989</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4" t="s">
        <v>2169</v>
      </c>
      <c r="B36" s="2460" t="s">
        <v>2170</v>
      </c>
      <c r="C36" s="154"/>
      <c r="D36" s="2461"/>
      <c r="E36" s="2462"/>
      <c r="F36" s="2463"/>
      <c r="G36" s="138"/>
      <c r="H36" s="138"/>
      <c r="I36" s="138"/>
    </row>
    <row r="37" spans="1:15" ht="15.75" thickBot="1">
      <c r="A37" s="3195"/>
      <c r="B37" s="2265" t="s">
        <v>2171</v>
      </c>
      <c r="C37" s="156"/>
      <c r="D37" s="1393"/>
      <c r="E37" s="1393"/>
      <c r="F37" s="2463"/>
      <c r="G37" s="138"/>
      <c r="H37" s="138"/>
      <c r="I37" s="138"/>
    </row>
    <row r="38" spans="1:15" ht="15.75" thickBot="1">
      <c r="A38" s="3196"/>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1" t="s">
        <v>2183</v>
      </c>
      <c r="B45" s="3212"/>
      <c r="C45" s="3213"/>
      <c r="D45" s="164">
        <f ca="1">ROUND(H101*F45,0)</f>
        <v>36989</v>
      </c>
      <c r="E45" s="165" t="s">
        <v>2184</v>
      </c>
      <c r="F45" s="166">
        <v>1</v>
      </c>
      <c r="G45" s="167" t="s">
        <v>2185</v>
      </c>
      <c r="H45" s="138"/>
      <c r="I45" s="138"/>
      <c r="J45" s="3130" t="s">
        <v>2186</v>
      </c>
      <c r="K45" s="3130"/>
      <c r="L45" s="3130"/>
      <c r="M45" s="3130"/>
      <c r="N45" s="3130"/>
      <c r="O45" s="3130"/>
    </row>
    <row r="46" spans="1:15" ht="14.25" customHeight="1">
      <c r="A46" s="3208" t="s">
        <v>2187</v>
      </c>
      <c r="B46" s="3209"/>
      <c r="C46" s="3209"/>
      <c r="D46" s="3209"/>
      <c r="E46" s="3209"/>
      <c r="F46" s="3209"/>
      <c r="G46" s="3210"/>
      <c r="H46" s="2479"/>
      <c r="I46" s="168"/>
      <c r="J46" s="3014">
        <v>1</v>
      </c>
      <c r="K46" s="3130" t="s">
        <v>2188</v>
      </c>
      <c r="L46" s="3130"/>
      <c r="M46" s="3131"/>
      <c r="N46" s="3131"/>
      <c r="O46" s="3131"/>
    </row>
    <row r="47" spans="1:15" ht="12" customHeight="1">
      <c r="A47" s="169" t="s">
        <v>2189</v>
      </c>
      <c r="B47" s="170"/>
      <c r="C47" s="171"/>
      <c r="D47" s="172" t="s">
        <v>2190</v>
      </c>
      <c r="E47" s="24" t="s">
        <v>2191</v>
      </c>
      <c r="F47" s="173" t="s">
        <v>2192</v>
      </c>
      <c r="G47" s="174" t="s">
        <v>2193</v>
      </c>
      <c r="H47" s="2479"/>
      <c r="I47" s="168"/>
      <c r="J47" s="3014">
        <v>2</v>
      </c>
      <c r="K47" s="3130" t="s">
        <v>2194</v>
      </c>
      <c r="L47" s="3130"/>
      <c r="M47" s="3132">
        <f>'数据-取费表'!B2</f>
        <v>43570</v>
      </c>
      <c r="N47" s="3132"/>
      <c r="O47" s="3132"/>
    </row>
    <row r="48" spans="1:15" ht="25.5">
      <c r="A48" s="3198" t="s">
        <v>2195</v>
      </c>
      <c r="B48" s="3199"/>
      <c r="C48" s="3199"/>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30" t="s">
        <v>2198</v>
      </c>
      <c r="L48" s="3130"/>
      <c r="M48" s="3133">
        <f ca="1">H101</f>
        <v>36989</v>
      </c>
      <c r="N48" s="3133"/>
      <c r="O48" s="3133"/>
    </row>
    <row r="49" spans="1:35" ht="25.5" customHeight="1">
      <c r="A49" s="176" t="s">
        <v>2199</v>
      </c>
      <c r="B49" s="3178" t="s">
        <v>2200</v>
      </c>
      <c r="C49" s="3178"/>
      <c r="D49" s="177">
        <v>0</v>
      </c>
      <c r="E49" s="23" t="s">
        <v>2201</v>
      </c>
      <c r="F49" s="28" t="s">
        <v>34</v>
      </c>
      <c r="G49" s="3159"/>
      <c r="H49" s="138"/>
      <c r="I49" s="2482"/>
      <c r="J49" s="3014">
        <v>4</v>
      </c>
      <c r="K49" s="3130" t="str">
        <f>IF(项目基本情况!E8="房地产抵押价值","房地产抵押价值","抵押担保权已注销时的房地产抵押价值")</f>
        <v>抵押担保权已注销时的房地产抵押价值</v>
      </c>
      <c r="L49" s="3130"/>
      <c r="M49" s="3133" t="str">
        <f>IF(项目基本情况!E8="房地产抵押价值",H107,H109)</f>
        <v>——</v>
      </c>
      <c r="N49" s="3133"/>
      <c r="O49" s="3133"/>
    </row>
    <row r="50" spans="1:35" ht="25.5" customHeight="1">
      <c r="A50" s="178"/>
      <c r="B50" s="3178" t="s">
        <v>2202</v>
      </c>
      <c r="C50" s="3178"/>
      <c r="D50" s="179"/>
      <c r="E50" s="31"/>
      <c r="F50" s="180"/>
      <c r="G50" s="3160"/>
      <c r="H50" s="138"/>
      <c r="I50" s="2482"/>
      <c r="J50" s="3130" t="s">
        <v>2203</v>
      </c>
      <c r="K50" s="3130"/>
      <c r="L50" s="3130"/>
      <c r="M50" s="3130"/>
      <c r="N50" s="3130"/>
      <c r="O50" s="3130"/>
    </row>
    <row r="51" spans="1:35" ht="12" customHeight="1">
      <c r="A51" s="181"/>
      <c r="B51" s="3178" t="s">
        <v>2204</v>
      </c>
      <c r="C51" s="3178"/>
      <c r="D51" s="182"/>
      <c r="E51" s="30"/>
      <c r="F51" s="180"/>
      <c r="G51" s="3161"/>
      <c r="H51" s="138"/>
      <c r="I51" s="2482"/>
      <c r="J51" s="3007" t="s">
        <v>2205</v>
      </c>
      <c r="K51" s="3130" t="s">
        <v>2206</v>
      </c>
      <c r="L51" s="3130"/>
      <c r="M51" s="3007" t="s">
        <v>2207</v>
      </c>
      <c r="N51" s="3007" t="s">
        <v>2208</v>
      </c>
      <c r="O51" s="3007" t="s">
        <v>2209</v>
      </c>
    </row>
    <row r="52" spans="1:35" ht="24" customHeight="1">
      <c r="A52" s="183" t="s">
        <v>2210</v>
      </c>
      <c r="B52" s="3178" t="s">
        <v>2211</v>
      </c>
      <c r="C52" s="3178"/>
      <c r="D52" s="182">
        <f ca="1">ROUND(D45*'数据-取费表'!B41/(1+'数据-取费表'!C42),0)</f>
        <v>1938</v>
      </c>
      <c r="E52" s="11" t="s">
        <v>2212</v>
      </c>
      <c r="F52" s="184">
        <f>'数据-取费表'!B41</f>
        <v>5.5000000000000007E-2</v>
      </c>
      <c r="G52" s="2484"/>
      <c r="H52" s="138"/>
      <c r="I52" s="2482"/>
      <c r="J52" s="3014">
        <v>1</v>
      </c>
      <c r="K52" s="3153" t="s">
        <v>2213</v>
      </c>
      <c r="L52" s="3153"/>
      <c r="M52" s="1749">
        <f>D48</f>
        <v>0</v>
      </c>
      <c r="N52" s="3014" t="str">
        <f>E48</f>
        <v>销售额×税（费）率</v>
      </c>
      <c r="O52" s="1750" t="str">
        <f>F48</f>
        <v>免征</v>
      </c>
    </row>
    <row r="53" spans="1:35" ht="12" customHeight="1">
      <c r="A53" s="183" t="s">
        <v>2214</v>
      </c>
      <c r="B53" s="3179" t="s">
        <v>2215</v>
      </c>
      <c r="C53" s="3180"/>
      <c r="D53" s="182">
        <f ca="1">ROUND(D45*'数据-取费表'!B41/(1+'数据-取费表'!C42),0)</f>
        <v>1938</v>
      </c>
      <c r="E53" s="11" t="s">
        <v>2212</v>
      </c>
      <c r="F53" s="184">
        <f>'数据-取费表'!B41</f>
        <v>5.5000000000000007E-2</v>
      </c>
      <c r="G53" s="2484"/>
      <c r="H53" s="138"/>
      <c r="I53" s="2482"/>
      <c r="J53" s="3014">
        <v>2</v>
      </c>
      <c r="K53" s="3153" t="s">
        <v>2216</v>
      </c>
      <c r="L53" s="3153"/>
      <c r="M53" s="1749">
        <f t="shared" ref="M53:O54" ca="1" si="0">D55</f>
        <v>18</v>
      </c>
      <c r="N53" s="3014" t="str">
        <f t="shared" si="0"/>
        <v>销售额×税（费）率</v>
      </c>
      <c r="O53" s="1750">
        <f t="shared" si="0"/>
        <v>5.0000000000000001E-4</v>
      </c>
    </row>
    <row r="54" spans="1:35" ht="12" customHeight="1">
      <c r="A54" s="183" t="s">
        <v>2217</v>
      </c>
      <c r="B54" s="3179" t="s">
        <v>2218</v>
      </c>
      <c r="C54" s="3180"/>
      <c r="D54" s="182">
        <f ca="1">C68</f>
        <v>1938</v>
      </c>
      <c r="E54" s="30" t="s">
        <v>2219</v>
      </c>
      <c r="F54" s="184">
        <f>'数据-取费表'!B41</f>
        <v>5.5000000000000007E-2</v>
      </c>
      <c r="G54" s="2484"/>
      <c r="H54" s="2485"/>
      <c r="I54" s="2482"/>
      <c r="J54" s="3014">
        <v>3</v>
      </c>
      <c r="K54" s="3153" t="s">
        <v>2220</v>
      </c>
      <c r="L54" s="3153"/>
      <c r="M54" s="1749">
        <f t="shared" ca="1" si="0"/>
        <v>20970</v>
      </c>
      <c r="N54" s="3014" t="str">
        <f t="shared" si="0"/>
        <v>增值额×税（费）率</v>
      </c>
      <c r="O54" s="1751" t="str">
        <f t="shared" si="0"/>
        <v>——</v>
      </c>
    </row>
    <row r="55" spans="1:35" ht="24" customHeight="1">
      <c r="A55" s="3217" t="s">
        <v>2221</v>
      </c>
      <c r="B55" s="3199"/>
      <c r="C55" s="3199"/>
      <c r="D55" s="185">
        <f ca="1">IF(H55="个人住宅",0,ROUND(D45*I55,0))</f>
        <v>18</v>
      </c>
      <c r="E55" s="11" t="s">
        <v>2222</v>
      </c>
      <c r="F55" s="184">
        <f>IF(H55="正常",I55,"免征")</f>
        <v>5.0000000000000001E-4</v>
      </c>
      <c r="G55" s="2484"/>
      <c r="H55" s="2481" t="s">
        <v>2223</v>
      </c>
      <c r="I55" s="186">
        <f>'数据-取费表'!B49</f>
        <v>5.0000000000000001E-4</v>
      </c>
      <c r="J55" s="3014" t="str">
        <f>IF(H59="非个人房产","",4)</f>
        <v/>
      </c>
      <c r="K55" s="3153" t="str">
        <f>IF(H59="非个人房产","——","个人所得税")</f>
        <v>——</v>
      </c>
      <c r="L55" s="3153"/>
      <c r="M55" s="1752" t="str">
        <f>D59</f>
        <v>——</v>
      </c>
      <c r="N55" s="3015" t="str">
        <f>E59</f>
        <v>——</v>
      </c>
      <c r="O55" s="1753" t="str">
        <f>F59</f>
        <v>——</v>
      </c>
    </row>
    <row r="56" spans="1:35" ht="24.75">
      <c r="A56" s="3217" t="s">
        <v>2224</v>
      </c>
      <c r="B56" s="3199"/>
      <c r="C56" s="3199"/>
      <c r="D56" s="185">
        <f ca="1">IF(H56="个人住宅",D57,D58)</f>
        <v>20970</v>
      </c>
      <c r="E56" s="11" t="s">
        <v>2225</v>
      </c>
      <c r="F56" s="184" t="str">
        <f>IF(H56="正常",F58,"免征")</f>
        <v>——</v>
      </c>
      <c r="G56" s="2486" t="s">
        <v>2226</v>
      </c>
      <c r="H56" s="2487" t="s">
        <v>2223</v>
      </c>
      <c r="I56" s="2488"/>
      <c r="J56" s="3014" t="str">
        <f>IF(项目基本情况!K6="上海银行",IF(J55="",4,J55+1),"")</f>
        <v/>
      </c>
      <c r="K56" s="3136" t="str">
        <f>IF(项目基本情况!K6="上海银行","其他处置费用","")</f>
        <v/>
      </c>
      <c r="L56" s="3137"/>
      <c r="M56" s="1749" t="str">
        <f>IF(项目基本情况!K6="上海银行",M69,"")</f>
        <v/>
      </c>
      <c r="N56" s="3139" t="str">
        <f>IF(项目基本情况!K6="上海银行","包含处置中涉及的律师、诉讼、拍卖、评估等费用","")</f>
        <v/>
      </c>
      <c r="O56" s="3140"/>
    </row>
    <row r="57" spans="1:35" ht="12.75">
      <c r="A57" s="183" t="s">
        <v>2199</v>
      </c>
      <c r="B57" s="3184" t="s">
        <v>2227</v>
      </c>
      <c r="C57" s="3185"/>
      <c r="D57" s="187">
        <v>0</v>
      </c>
      <c r="E57" s="23" t="s">
        <v>2201</v>
      </c>
      <c r="F57" s="155"/>
      <c r="G57" s="2484"/>
      <c r="H57" s="2488"/>
      <c r="I57" s="2488"/>
      <c r="J57" s="3153">
        <f>IF(AND(J55="",J56=""),4,IF(项目基本情况!K6="上海银行",'结果表-公寓'!J56+1,'结果表-公寓'!J55+1))</f>
        <v>4</v>
      </c>
      <c r="K57" s="3153" t="s">
        <v>2228</v>
      </c>
      <c r="L57" s="2489" t="s">
        <v>2229</v>
      </c>
      <c r="M57" s="1754"/>
      <c r="N57" s="1755">
        <f ca="1">SUMIF(M52:M56,"&lt;9e307")</f>
        <v>20988</v>
      </c>
      <c r="O57" s="2490"/>
      <c r="P57" s="1748" t="e">
        <f ca="1">N57/M49</f>
        <v>#VALUE!</v>
      </c>
    </row>
    <row r="58" spans="1:35" ht="24.75">
      <c r="A58" s="183" t="s">
        <v>2210</v>
      </c>
      <c r="B58" s="3184" t="s">
        <v>2230</v>
      </c>
      <c r="C58" s="3197"/>
      <c r="D58" s="185">
        <f ca="1">IF(H58="转让取得",C81,C97)</f>
        <v>20970</v>
      </c>
      <c r="E58" s="11" t="s">
        <v>2225</v>
      </c>
      <c r="F58" s="24" t="s">
        <v>34</v>
      </c>
      <c r="G58" s="2484"/>
      <c r="H58" s="2487" t="s">
        <v>2231</v>
      </c>
      <c r="I58" s="2488"/>
      <c r="J58" s="3153"/>
      <c r="K58" s="3153"/>
      <c r="L58" s="2489" t="s">
        <v>2232</v>
      </c>
      <c r="M58" s="1756"/>
      <c r="N58" s="2491" t="str">
        <f ca="1">NUMBERSTRING(INT(N57*10000),2)&amp;"元整"</f>
        <v>贰亿零玖佰捌拾捌万元整</v>
      </c>
      <c r="O58" s="2492"/>
    </row>
    <row r="59" spans="1:35" ht="24.75" thickBot="1">
      <c r="A59" s="3157" t="s">
        <v>2233</v>
      </c>
      <c r="B59" s="3158"/>
      <c r="C59" s="315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5">
        <f>J57+1</f>
        <v>5</v>
      </c>
      <c r="K59" s="3153" t="s">
        <v>2235</v>
      </c>
      <c r="L59" s="3014" t="s">
        <v>2229</v>
      </c>
      <c r="M59" s="1757"/>
      <c r="N59" s="1758" t="e">
        <f ca="1">M49-N57</f>
        <v>#VALUE!</v>
      </c>
      <c r="O59" s="2494"/>
    </row>
    <row r="60" spans="1:35" ht="12" customHeight="1">
      <c r="A60" s="2495"/>
      <c r="B60" s="2417"/>
      <c r="C60" s="2417"/>
      <c r="D60" s="2417"/>
      <c r="E60" s="2165"/>
      <c r="F60" s="2488"/>
      <c r="G60" s="2488"/>
      <c r="H60" s="2496"/>
      <c r="I60" s="138"/>
      <c r="J60" s="3156"/>
      <c r="K60" s="3153"/>
      <c r="L60" s="2489" t="s">
        <v>2232</v>
      </c>
      <c r="M60" s="1756"/>
      <c r="N60" s="2491" t="e">
        <f ca="1">NUMBERSTRING(INT(N59*10000),2)&amp;"元整"</f>
        <v>#VALUE!</v>
      </c>
      <c r="O60" s="2492"/>
    </row>
    <row r="61" spans="1:35" ht="13.5" thickBot="1">
      <c r="A61" s="3216" t="s">
        <v>2236</v>
      </c>
      <c r="B61" s="3216"/>
      <c r="C61" s="3216"/>
      <c r="D61" s="3216"/>
      <c r="E61" s="3216"/>
      <c r="F61" s="2488"/>
      <c r="G61" s="2488"/>
      <c r="H61" s="2496"/>
      <c r="I61" s="138"/>
      <c r="J61" s="3014">
        <f>J59+1</f>
        <v>6</v>
      </c>
      <c r="K61" s="3153" t="s">
        <v>2237</v>
      </c>
      <c r="L61" s="3153"/>
      <c r="M61" s="1759"/>
      <c r="N61" s="1760" t="e">
        <f ca="1">ROUND(N59*10000/'数据-汇总表'!E3,0)</f>
        <v>#VALUE!</v>
      </c>
      <c r="O61" s="2497"/>
    </row>
    <row r="62" spans="1:35" ht="12.75">
      <c r="A62" s="3173" t="s">
        <v>2238</v>
      </c>
      <c r="B62" s="3174"/>
      <c r="C62" s="3019"/>
      <c r="D62" s="3019" t="s">
        <v>2239</v>
      </c>
      <c r="E62" s="192" t="s">
        <v>2240</v>
      </c>
      <c r="F62" s="2488"/>
      <c r="G62" s="2488"/>
      <c r="H62" s="2496"/>
      <c r="I62" s="138"/>
    </row>
    <row r="63" spans="1:35" ht="12.75">
      <c r="A63" s="203" t="s">
        <v>775</v>
      </c>
      <c r="B63" s="193" t="s">
        <v>2241</v>
      </c>
      <c r="C63" s="194">
        <f ca="1">ROUND((C64+C65)/(1+'数据-取费表'!C42),0)</f>
        <v>35228</v>
      </c>
      <c r="D63" s="195"/>
      <c r="E63" s="196"/>
      <c r="F63" s="2488"/>
      <c r="G63" s="2488"/>
      <c r="H63" s="2496"/>
      <c r="I63" s="138"/>
      <c r="J63" s="3138"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36989</v>
      </c>
      <c r="D64" s="200" t="s">
        <v>32</v>
      </c>
      <c r="E64" s="201"/>
      <c r="F64" s="2488"/>
      <c r="G64" s="2488"/>
      <c r="H64" s="2496"/>
      <c r="I64" s="138"/>
      <c r="J64" s="3138"/>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38"/>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38"/>
      <c r="K66" s="3010" t="s">
        <v>2250</v>
      </c>
      <c r="L66" s="1747" t="e">
        <f>M49*0.5%</f>
        <v>#VALUE!</v>
      </c>
      <c r="M66" s="24" t="e">
        <f>IF(L66&gt;0.5,0.5,ROUND(L66,0))</f>
        <v>#VALUE!</v>
      </c>
      <c r="N66" s="138" t="s">
        <v>2251</v>
      </c>
      <c r="Z66" s="2422"/>
      <c r="AI66" s="2423"/>
    </row>
    <row r="67" spans="1:35" ht="14.25" customHeight="1">
      <c r="A67" s="203" t="s">
        <v>773</v>
      </c>
      <c r="B67" s="204" t="s">
        <v>2252</v>
      </c>
      <c r="C67" s="207">
        <f ca="1">C63-C66</f>
        <v>35228</v>
      </c>
      <c r="D67" s="200" t="s">
        <v>32</v>
      </c>
      <c r="E67" s="201"/>
      <c r="F67" s="2488"/>
      <c r="G67" s="2488"/>
      <c r="H67" s="2496"/>
      <c r="I67" s="138"/>
      <c r="J67" s="3138"/>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1938</v>
      </c>
      <c r="D68" s="211">
        <f>'数据-取费表'!B41</f>
        <v>5.5000000000000007E-2</v>
      </c>
      <c r="E68" s="212"/>
      <c r="F68" s="2488"/>
      <c r="G68" s="2488"/>
      <c r="H68" s="2496"/>
      <c r="I68" s="138"/>
      <c r="J68" s="3138"/>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38"/>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2" t="s">
        <v>2257</v>
      </c>
      <c r="B70" s="3183"/>
      <c r="C70" s="3183"/>
      <c r="D70" s="3183"/>
      <c r="E70" s="3183"/>
      <c r="F70" s="3183"/>
      <c r="G70" s="3183"/>
      <c r="H70" s="318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3" t="s">
        <v>2238</v>
      </c>
      <c r="B71" s="3174"/>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35228</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176</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79" t="s">
        <v>2266</v>
      </c>
      <c r="F76" s="3178"/>
      <c r="G76" s="3178"/>
      <c r="H76" s="318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176</v>
      </c>
      <c r="D78" s="226">
        <f>'数据-取费表'!B43</f>
        <v>5.000000000000001E-3</v>
      </c>
      <c r="E78" s="3170" t="s">
        <v>2271</v>
      </c>
      <c r="F78" s="3171"/>
      <c r="G78" s="3171"/>
      <c r="H78" s="317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35052</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199.15909090909091</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20970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2" t="s">
        <v>2275</v>
      </c>
      <c r="B83" s="3183"/>
      <c r="C83" s="3183"/>
      <c r="D83" s="3183"/>
      <c r="E83" s="3183"/>
      <c r="F83" s="3183"/>
      <c r="G83" s="3183"/>
      <c r="H83" s="318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3" t="s">
        <v>2238</v>
      </c>
      <c r="B84" s="3174"/>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35228</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176</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0" t="s">
        <v>2284</v>
      </c>
      <c r="F91" s="3171"/>
      <c r="G91" s="317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0" t="s">
        <v>2288</v>
      </c>
      <c r="F92" s="3171"/>
      <c r="G92" s="3171"/>
      <c r="H92" s="317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176</v>
      </c>
      <c r="D93" s="226">
        <f>'数据-取费表'!B43</f>
        <v>5.000000000000001E-3</v>
      </c>
      <c r="E93" s="3170" t="s">
        <v>2271</v>
      </c>
      <c r="F93" s="3171"/>
      <c r="G93" s="3171"/>
      <c r="H93" s="317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18" t="s">
        <v>2292</v>
      </c>
      <c r="F94" s="3219"/>
      <c r="G94" s="3219"/>
      <c r="H94" s="322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35052</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199.15909090909091</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20970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2" t="s">
        <v>2294</v>
      </c>
      <c r="B100" s="3123"/>
      <c r="C100" s="3123"/>
      <c r="D100" s="3154"/>
      <c r="E100" s="3123" t="s">
        <v>2295</v>
      </c>
      <c r="F100" s="3123"/>
      <c r="G100" s="3123"/>
      <c r="H100" s="3154"/>
      <c r="I100" s="138"/>
    </row>
    <row r="101" spans="1:35" ht="18.75" customHeight="1">
      <c r="A101" s="3162" t="s">
        <v>2296</v>
      </c>
      <c r="B101" s="3163"/>
      <c r="C101" s="734" t="str">
        <f>C4</f>
        <v>比较法-公寓</v>
      </c>
      <c r="D101" s="735" t="str">
        <f>D4</f>
        <v>收益法-公寓</v>
      </c>
      <c r="E101" s="3134" t="s">
        <v>2297</v>
      </c>
      <c r="F101" s="3135"/>
      <c r="G101" s="2519" t="s">
        <v>2298</v>
      </c>
      <c r="H101" s="1046">
        <f ca="1">H118</f>
        <v>36989</v>
      </c>
      <c r="I101" s="138"/>
    </row>
    <row r="102" spans="1:35" ht="18.75" customHeight="1">
      <c r="A102" s="3164" t="s">
        <v>2299</v>
      </c>
      <c r="B102" s="2519" t="s">
        <v>2298</v>
      </c>
      <c r="C102" s="734">
        <f ca="1">C19</f>
        <v>39960</v>
      </c>
      <c r="D102" s="735">
        <f ca="1">D19</f>
        <v>34018</v>
      </c>
      <c r="E102" s="3134"/>
      <c r="F102" s="3135"/>
      <c r="G102" s="2519" t="s">
        <v>2300</v>
      </c>
      <c r="H102" s="371">
        <f ca="1">I118</f>
        <v>22824</v>
      </c>
      <c r="I102" s="138"/>
    </row>
    <row r="103" spans="1:35" ht="42.75" customHeight="1">
      <c r="A103" s="3164"/>
      <c r="B103" s="2519" t="s">
        <v>2300</v>
      </c>
      <c r="C103" s="736">
        <f ca="1">C20</f>
        <v>24657</v>
      </c>
      <c r="D103" s="737">
        <f ca="1">D20</f>
        <v>20991</v>
      </c>
      <c r="E103" s="3128" t="s">
        <v>2301</v>
      </c>
      <c r="F103" s="3129"/>
      <c r="G103" s="2520" t="s">
        <v>2302</v>
      </c>
      <c r="H103" s="1046">
        <f>IF(D36="正常操作",H104+H105+H106,H105+H106)</f>
        <v>0</v>
      </c>
      <c r="I103" s="138"/>
    </row>
    <row r="104" spans="1:35" ht="18.75" customHeight="1">
      <c r="A104" s="3164" t="s">
        <v>2303</v>
      </c>
      <c r="B104" s="2521" t="s">
        <v>2298</v>
      </c>
      <c r="C104" s="738">
        <f ca="1">H118</f>
        <v>36989</v>
      </c>
      <c r="D104" s="739"/>
      <c r="E104" s="2265" t="s">
        <v>2304</v>
      </c>
      <c r="F104" s="2257"/>
      <c r="G104" s="2520" t="s">
        <v>2302</v>
      </c>
      <c r="H104" s="1047">
        <f>IF(D36="同一抵押权人同一抵押物续贷",C36&amp;"（未扣减，详见特别提示）",C36)</f>
        <v>0</v>
      </c>
      <c r="I104" s="138"/>
    </row>
    <row r="105" spans="1:35" ht="18.75" customHeight="1" thickBot="1">
      <c r="A105" s="3176"/>
      <c r="B105" s="2522" t="s">
        <v>2300</v>
      </c>
      <c r="C105" s="740">
        <f ca="1">I118</f>
        <v>22824</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5" t="str">
        <f>IF(项目基本情况!E8="已注销","——","3.房地产抵押价值")</f>
        <v>3.房地产抵押价值</v>
      </c>
      <c r="F107" s="3135"/>
      <c r="G107" s="2519" t="s">
        <v>2298</v>
      </c>
      <c r="H107" s="1046">
        <f ca="1">IF(E107="——","——",H101-H103)</f>
        <v>36989</v>
      </c>
      <c r="I107" s="138"/>
    </row>
    <row r="108" spans="1:35" ht="18.75" customHeight="1">
      <c r="A108" s="138"/>
      <c r="B108" s="138"/>
      <c r="C108" s="138"/>
      <c r="D108" s="138"/>
      <c r="E108" s="3165"/>
      <c r="F108" s="3135"/>
      <c r="G108" s="2519" t="s">
        <v>2300</v>
      </c>
      <c r="H108" s="371">
        <f ca="1">ROUND(H107*10000/'数据-汇总表'!E3,0)</f>
        <v>5549</v>
      </c>
      <c r="I108" s="138"/>
    </row>
    <row r="109" spans="1:35" ht="18.75" customHeight="1">
      <c r="A109" s="138"/>
      <c r="B109" s="138"/>
      <c r="C109" s="138"/>
      <c r="D109" s="138"/>
      <c r="E109" s="3165" t="str">
        <f>IF(项目基本情况!E8="已注销及未注销","4.抵押担保权已注销时的房地产抵押价值",IF(项目基本情况!E8="已注销","3.抵押担保权已注销时的房地产抵押价值","——"))</f>
        <v>——</v>
      </c>
      <c r="F109" s="3135"/>
      <c r="G109" s="2519" t="s">
        <v>2298</v>
      </c>
      <c r="H109" s="348" t="str">
        <f>IF(E109="——","——",H101-H105-H106)</f>
        <v>——</v>
      </c>
      <c r="I109" s="138"/>
    </row>
    <row r="110" spans="1:35" ht="18.75" customHeight="1">
      <c r="A110" s="138"/>
      <c r="B110" s="138"/>
      <c r="C110" s="138"/>
      <c r="D110" s="138"/>
      <c r="E110" s="3165"/>
      <c r="F110" s="3135"/>
      <c r="G110" s="2519" t="s">
        <v>2300</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9" t="s">
        <v>2298</v>
      </c>
      <c r="H111" s="1046" t="str">
        <f>IF(E111="——","——",N59)</f>
        <v>——</v>
      </c>
      <c r="I111" s="138"/>
    </row>
    <row r="112" spans="1:35" ht="18.75" customHeight="1" thickBot="1">
      <c r="A112" s="138"/>
      <c r="B112" s="138"/>
      <c r="C112" s="138"/>
      <c r="D112" s="138"/>
      <c r="E112" s="3168"/>
      <c r="F112" s="3169"/>
      <c r="G112" s="2524" t="s">
        <v>2300</v>
      </c>
      <c r="H112" s="788" t="str">
        <f>IF(E111="——","——",N61)</f>
        <v>——</v>
      </c>
      <c r="I112" s="138"/>
    </row>
    <row r="113" spans="1:11" ht="18.75" customHeight="1">
      <c r="A113" s="138"/>
      <c r="B113" s="138"/>
      <c r="C113" s="138"/>
      <c r="D113" s="138"/>
      <c r="E113" s="3177" t="s">
        <v>2306</v>
      </c>
      <c r="F113" s="3177"/>
      <c r="G113" s="3177"/>
      <c r="H113" s="3177"/>
      <c r="I113" s="138"/>
    </row>
    <row r="114" spans="1:11" ht="3.75" customHeight="1">
      <c r="A114" s="2417"/>
      <c r="B114" s="2417"/>
      <c r="C114" s="2417"/>
      <c r="D114" s="2417"/>
      <c r="E114" s="2495"/>
      <c r="F114" s="2495"/>
      <c r="G114" s="2495"/>
      <c r="H114" s="2495"/>
      <c r="I114" s="2417"/>
    </row>
    <row r="115" spans="1:11" ht="18.75" customHeight="1">
      <c r="A115" s="3190" t="s">
        <v>2308</v>
      </c>
      <c r="B115" s="3191"/>
      <c r="C115" s="3191"/>
      <c r="D115" s="3191"/>
      <c r="E115" s="3191"/>
      <c r="F115" s="3191"/>
      <c r="G115" s="3191"/>
      <c r="H115" s="3191"/>
      <c r="I115" s="3192"/>
    </row>
    <row r="116" spans="1:11" ht="27" customHeight="1">
      <c r="A116" s="3101" t="s">
        <v>2309</v>
      </c>
      <c r="B116" s="3144" t="s">
        <v>2310</v>
      </c>
      <c r="C116" s="3144" t="s">
        <v>2311</v>
      </c>
      <c r="D116" s="3150" t="s">
        <v>2312</v>
      </c>
      <c r="E116" s="3151"/>
      <c r="F116" s="3186" t="s">
        <v>2313</v>
      </c>
      <c r="G116" s="3186"/>
      <c r="H116" s="3101" t="s">
        <v>2314</v>
      </c>
      <c r="I116" s="3101"/>
    </row>
    <row r="117" spans="1:11" ht="18.75" customHeight="1">
      <c r="A117" s="3101"/>
      <c r="B117" s="3145"/>
      <c r="C117" s="3145"/>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36989</v>
      </c>
      <c r="I118" s="3005">
        <f ca="1">ROUND(IF(D32="楼面单价",C32,H118*10000/B118),0)</f>
        <v>22824</v>
      </c>
    </row>
    <row r="119" spans="1:11" ht="18.75" customHeight="1">
      <c r="A119" s="3101" t="s">
        <v>2318</v>
      </c>
      <c r="B119" s="3101"/>
      <c r="C119" s="3101"/>
      <c r="D119" s="3146" t="e">
        <f ca="1">NUMBERSTRING(INT(D118*10000),2)&amp;"元整"</f>
        <v>#REF!</v>
      </c>
      <c r="E119" s="3147"/>
      <c r="F119" s="3146" t="e">
        <f ca="1">NUMBERSTRING(INT(F118*10000),2)&amp;"元整"</f>
        <v>#REF!</v>
      </c>
      <c r="G119" s="3147"/>
      <c r="H119" s="3146" t="str">
        <f ca="1">NUMBERSTRING(INT(H118*10000),2)&amp;"元整"</f>
        <v>叁亿陆仟玖佰捌拾玖万元整</v>
      </c>
      <c r="I119" s="3147"/>
    </row>
    <row r="120" spans="1:11" ht="18.75" customHeight="1">
      <c r="A120" s="3141" t="str">
        <f>IF(项目基本情况!B9="房地产市场价值","",MID(E103,3,LEN(E103)-2))</f>
        <v/>
      </c>
      <c r="B120" s="3142"/>
      <c r="C120" s="3143"/>
      <c r="D120" s="3141">
        <f>H103</f>
        <v>0</v>
      </c>
      <c r="E120" s="3142"/>
      <c r="F120" s="3142"/>
      <c r="G120" s="3142"/>
      <c r="H120" s="3142"/>
      <c r="I120" s="3143"/>
      <c r="K120" s="2422" t="str">
        <f>IF(D120=0,"故，本次评估不存在"&amp;A120,"故，本次评估"&amp;A120&amp;"为人民币"&amp;D120&amp;"万元整。")</f>
        <v>故，本次评估不存在</v>
      </c>
    </row>
    <row r="121" spans="1:11" ht="18.75" customHeight="1">
      <c r="A121" s="3187" t="s">
        <v>2318</v>
      </c>
      <c r="B121" s="3188"/>
      <c r="C121" s="3189"/>
      <c r="D121" s="3146" t="str">
        <f>IF(D120=0,"零元整",NUMBERSTRING(INT(D120*10000),2)&amp;"元整")</f>
        <v>零元整</v>
      </c>
      <c r="E121" s="3148"/>
      <c r="F121" s="3148"/>
      <c r="G121" s="3148"/>
      <c r="H121" s="3148"/>
      <c r="I121" s="3147"/>
    </row>
    <row r="122" spans="1:11" ht="18.75" customHeight="1">
      <c r="A122" s="3152" t="str">
        <f>IF(项目基本情况!B9="房地产市场价值","",MID(E107,3,LEN(E107)-2))</f>
        <v/>
      </c>
      <c r="B122" s="3152"/>
      <c r="C122" s="3152"/>
      <c r="D122" s="3141">
        <f ca="1">H107</f>
        <v>36989</v>
      </c>
      <c r="E122" s="3142"/>
      <c r="F122" s="3142"/>
      <c r="G122" s="3142"/>
      <c r="H122" s="3142"/>
      <c r="I122" s="3143"/>
    </row>
    <row r="123" spans="1:11" ht="18.75" customHeight="1">
      <c r="A123" s="3101" t="s">
        <v>2318</v>
      </c>
      <c r="B123" s="3101"/>
      <c r="C123" s="3101"/>
      <c r="D123" s="3146" t="str">
        <f ca="1">NUMBERSTRING(INT(D122*10000),2)&amp;"元整"</f>
        <v>叁亿陆仟玖佰捌拾玖万元整</v>
      </c>
      <c r="E123" s="3148"/>
      <c r="F123" s="3148"/>
      <c r="G123" s="3148"/>
      <c r="H123" s="3148"/>
      <c r="I123" s="3147"/>
    </row>
    <row r="124" spans="1:11" ht="18.75" customHeight="1">
      <c r="A124" s="3152" t="str">
        <f>IF(项目基本情况!B9="房地产市场价值","",MID(E109,3,LEN(E109)-2))</f>
        <v/>
      </c>
      <c r="B124" s="3152"/>
      <c r="C124" s="3152"/>
      <c r="D124" s="3141" t="str">
        <f>H109</f>
        <v>——</v>
      </c>
      <c r="E124" s="3142"/>
      <c r="F124" s="3142"/>
      <c r="G124" s="3142"/>
      <c r="H124" s="3142"/>
      <c r="I124" s="3143"/>
    </row>
    <row r="125" spans="1:11" ht="18.75" customHeight="1">
      <c r="A125" s="3101" t="s">
        <v>2318</v>
      </c>
      <c r="B125" s="3101"/>
      <c r="C125" s="3101"/>
      <c r="D125" s="3146" t="e">
        <f>NUMBERSTRING(INT(D124*10000),2)&amp;"元整"</f>
        <v>#VALUE!</v>
      </c>
      <c r="E125" s="3148"/>
      <c r="F125" s="3148"/>
      <c r="G125" s="3148"/>
      <c r="H125" s="3148"/>
      <c r="I125" s="3147"/>
    </row>
    <row r="126" spans="1:11" ht="18.75" customHeight="1">
      <c r="A126" s="3152" t="str">
        <f>IF(项目基本情况!B9="房地产市场价值","",MID(E111,3,LEN(E111)-2))</f>
        <v/>
      </c>
      <c r="B126" s="3152"/>
      <c r="C126" s="3152"/>
      <c r="D126" s="3141" t="str">
        <f>H111</f>
        <v>——</v>
      </c>
      <c r="E126" s="3142"/>
      <c r="F126" s="3142"/>
      <c r="G126" s="3142"/>
      <c r="H126" s="3142"/>
      <c r="I126" s="3143"/>
    </row>
    <row r="127" spans="1:11" ht="18.75" customHeight="1">
      <c r="A127" s="3101" t="s">
        <v>2318</v>
      </c>
      <c r="B127" s="3101"/>
      <c r="C127" s="3101"/>
      <c r="D127" s="3146" t="e">
        <f>NUMBERSTRING(INT(D126*10000),2)&amp;"元整"</f>
        <v>#VALUE!</v>
      </c>
      <c r="E127" s="3148"/>
      <c r="F127" s="3148"/>
      <c r="G127" s="3148"/>
      <c r="H127" s="3148"/>
      <c r="I127" s="3147"/>
    </row>
    <row r="128" spans="1:11" ht="21.75" customHeight="1">
      <c r="A128" s="3149" t="s">
        <v>2319</v>
      </c>
      <c r="B128" s="3149"/>
      <c r="C128" s="3149"/>
      <c r="D128" s="3149"/>
      <c r="E128" s="3149"/>
      <c r="F128" s="3149"/>
      <c r="G128" s="3149"/>
      <c r="H128" s="3149"/>
      <c r="I128" s="3149"/>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80" zoomScaleNormal="80" workbookViewId="0">
      <selection activeCell="J7" sqref="J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3098</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7" t="s">
        <v>2649</v>
      </c>
      <c r="AC4" s="3224" t="s">
        <v>2650</v>
      </c>
    </row>
    <row r="5" spans="1:29" ht="15">
      <c r="A5" s="404"/>
      <c r="B5" s="405"/>
      <c r="C5" s="3236" t="s">
        <v>2543</v>
      </c>
      <c r="D5" s="3237"/>
      <c r="E5" s="3234" t="str">
        <f>Sheet3!A55</f>
        <v>恒大城</v>
      </c>
      <c r="F5" s="3235"/>
      <c r="G5" s="3236" t="str">
        <f>Sheet3!A56</f>
        <v>恒大城</v>
      </c>
      <c r="H5" s="3237"/>
      <c r="I5" s="3236" t="str">
        <f>Sheet3!A57</f>
        <v>高教园</v>
      </c>
      <c r="J5" s="3237"/>
      <c r="K5" s="610"/>
      <c r="L5" s="1131"/>
      <c r="M5" s="1132"/>
      <c r="N5" s="1132"/>
      <c r="O5" s="1132"/>
      <c r="P5" s="3249"/>
      <c r="Q5" s="3250"/>
      <c r="R5" s="3232"/>
      <c r="S5" s="3233"/>
      <c r="T5" s="3232"/>
      <c r="U5" s="3233"/>
      <c r="V5" s="3227"/>
      <c r="W5" s="3227"/>
      <c r="X5" s="1811"/>
      <c r="Y5" s="3232"/>
      <c r="Z5" s="3233"/>
      <c r="AA5" s="3225"/>
      <c r="AB5" s="3227"/>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7"/>
      <c r="AC6" s="3226"/>
    </row>
    <row r="7" spans="1:29" s="117" customFormat="1" ht="15.75" thickBot="1">
      <c r="A7" s="408" t="s">
        <v>2549</v>
      </c>
      <c r="B7" s="409"/>
      <c r="C7" s="410">
        <f>'数据-取费表'!B2</f>
        <v>43570</v>
      </c>
      <c r="D7" s="411">
        <v>100</v>
      </c>
      <c r="E7" s="412">
        <v>43556</v>
      </c>
      <c r="F7" s="413">
        <f>SUMIF(58:58,YEAR(E7)&amp;"-"&amp;MONTH(E7),59:59)</f>
        <v>100</v>
      </c>
      <c r="G7" s="412">
        <v>43556</v>
      </c>
      <c r="H7" s="411">
        <f>SUMIF(58:58,YEAR(G7)&amp;"-"&amp;MONTH(G7),59:59)</f>
        <v>100</v>
      </c>
      <c r="I7" s="412">
        <v>43556</v>
      </c>
      <c r="J7" s="411">
        <f>SUMIF(58:58,YEAR(I7)&amp;"-"&amp;MONTH(I7),59:59)</f>
        <v>100</v>
      </c>
      <c r="K7" s="611"/>
      <c r="L7" s="1133"/>
      <c r="M7" s="1134"/>
      <c r="N7" s="1134"/>
      <c r="O7" s="1134"/>
      <c r="P7" s="3228" t="s">
        <v>2550</v>
      </c>
      <c r="Q7" s="3255"/>
      <c r="R7" s="768" t="s">
        <v>17</v>
      </c>
      <c r="S7" s="769">
        <f t="shared" ref="S7:S15" si="0">F7</f>
        <v>100</v>
      </c>
      <c r="T7" s="768" t="s">
        <v>17</v>
      </c>
      <c r="U7" s="769">
        <f t="shared" ref="U7:U15" si="1">H7</f>
        <v>100</v>
      </c>
      <c r="V7" s="768" t="s">
        <v>17</v>
      </c>
      <c r="W7" s="769">
        <f t="shared" ref="W7:W15" si="2">J7</f>
        <v>100</v>
      </c>
      <c r="X7" s="770"/>
      <c r="Y7" s="3228" t="s">
        <v>2550</v>
      </c>
      <c r="Z7" s="3229"/>
      <c r="AA7" s="771">
        <f>D7/F7</f>
        <v>1</v>
      </c>
      <c r="AB7" s="771">
        <f>D7/H7</f>
        <v>1</v>
      </c>
      <c r="AC7" s="771">
        <f>D7/J7</f>
        <v>1</v>
      </c>
    </row>
    <row r="8" spans="1:29" s="117" customFormat="1" ht="15.75" thickBot="1">
      <c r="A8" s="408" t="s">
        <v>2551</v>
      </c>
      <c r="B8" s="409"/>
      <c r="C8" s="414" t="s">
        <v>2653</v>
      </c>
      <c r="D8" s="411">
        <v>100</v>
      </c>
      <c r="E8" s="414" t="s">
        <v>3099</v>
      </c>
      <c r="F8" s="413">
        <f>SUMIF(61:61,E8,62:62)-SUMIF(61:61,C8,62:62)+100</f>
        <v>100</v>
      </c>
      <c r="G8" s="2970" t="s">
        <v>3126</v>
      </c>
      <c r="H8" s="411">
        <f>SUMIF(61:61,G8,62:62)-SUMIF(61:61,C8,62:62)+100</f>
        <v>100</v>
      </c>
      <c r="I8" s="2970" t="s">
        <v>3126</v>
      </c>
      <c r="J8" s="411">
        <f>SUMIF(61:61,I8,62:62)-SUMIF(61:61,C8,62:62)+100</f>
        <v>100</v>
      </c>
      <c r="K8" s="611"/>
      <c r="L8" s="1133"/>
      <c r="M8" s="1134"/>
      <c r="N8" s="1134"/>
      <c r="O8" s="1134"/>
      <c r="P8" s="3228" t="s">
        <v>2553</v>
      </c>
      <c r="Q8" s="3229"/>
      <c r="R8" s="768" t="s">
        <v>17</v>
      </c>
      <c r="S8" s="769">
        <f t="shared" si="0"/>
        <v>100</v>
      </c>
      <c r="T8" s="768" t="s">
        <v>17</v>
      </c>
      <c r="U8" s="769">
        <f t="shared" si="1"/>
        <v>100</v>
      </c>
      <c r="V8" s="768" t="s">
        <v>17</v>
      </c>
      <c r="W8" s="769">
        <f t="shared" si="2"/>
        <v>100</v>
      </c>
      <c r="X8" s="770"/>
      <c r="Y8" s="3228" t="s">
        <v>2553</v>
      </c>
      <c r="Z8" s="3229"/>
      <c r="AA8" s="771">
        <f t="shared" ref="AA8:AA46" si="3">D8/F8</f>
        <v>1</v>
      </c>
      <c r="AB8" s="771">
        <f t="shared" ref="AB8:AB46" si="4">D8/H8</f>
        <v>1</v>
      </c>
      <c r="AC8" s="771">
        <f t="shared" ref="AC8:AC46" si="5">D8/J8</f>
        <v>1</v>
      </c>
    </row>
    <row r="9" spans="1:29" s="117" customFormat="1">
      <c r="A9" s="415" t="s">
        <v>2554</v>
      </c>
      <c r="B9" s="71" t="s">
        <v>2555</v>
      </c>
      <c r="C9" s="2971" t="s">
        <v>3127</v>
      </c>
      <c r="D9" s="135">
        <v>100</v>
      </c>
      <c r="E9" s="2973" t="s">
        <v>3127</v>
      </c>
      <c r="F9" s="418">
        <f>SUMIF(63:63,E9,64:64)-SUMIF(63:63,C9,64:64)+100</f>
        <v>100</v>
      </c>
      <c r="G9" s="2973" t="s">
        <v>3127</v>
      </c>
      <c r="H9" s="135">
        <f>SUMIF(63:63,G9,64:64)-SUMIF(63:63,C9,64:64)+100</f>
        <v>100</v>
      </c>
      <c r="I9" s="2973" t="s">
        <v>3127</v>
      </c>
      <c r="J9" s="135">
        <f>SUMIF(63:63,I9,64:64)-SUMIF(63:63,C9,64:64)+100</f>
        <v>100</v>
      </c>
      <c r="K9" s="611"/>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23" t="s">
        <v>3128</v>
      </c>
      <c r="D10" s="136">
        <v>100</v>
      </c>
      <c r="E10" s="424" t="s">
        <v>3128</v>
      </c>
      <c r="F10" s="425">
        <f>SUMIF(65:65,E10,66:66)-SUMIF(65:65,C10,66:66)+100</f>
        <v>100</v>
      </c>
      <c r="G10" s="423" t="s">
        <v>3128</v>
      </c>
      <c r="H10" s="136">
        <f>SUMIF(65:65,G10,66:66)-SUMIF(65:65,C10,66:66)+100</f>
        <v>100</v>
      </c>
      <c r="I10" s="423" t="s">
        <v>3128</v>
      </c>
      <c r="J10" s="136">
        <f>SUMIF(65:65,I10,66:66)-SUMIF(65:65,C10,66:66)+100</f>
        <v>100</v>
      </c>
      <c r="K10" s="612">
        <v>2</v>
      </c>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2"/>
      <c r="Q11" s="1793" t="str">
        <f t="shared" si="6"/>
        <v>容积率</v>
      </c>
      <c r="R11" s="768" t="s">
        <v>17</v>
      </c>
      <c r="S11" s="769">
        <f t="shared" si="0"/>
        <v>100</v>
      </c>
      <c r="T11" s="768" t="s">
        <v>17</v>
      </c>
      <c r="U11" s="769">
        <f t="shared" si="1"/>
        <v>100</v>
      </c>
      <c r="V11" s="768" t="s">
        <v>17</v>
      </c>
      <c r="W11" s="769">
        <f t="shared" si="2"/>
        <v>100</v>
      </c>
      <c r="X11" s="770"/>
      <c r="Y11" s="3101"/>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2"/>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2"/>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2"/>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56" t="s">
        <v>2561</v>
      </c>
      <c r="Q15" s="1808" t="str">
        <f t="shared" si="6"/>
        <v>商业繁华度</v>
      </c>
      <c r="R15" s="772" t="s">
        <v>17</v>
      </c>
      <c r="S15" s="773">
        <f t="shared" si="0"/>
        <v>102</v>
      </c>
      <c r="T15" s="772" t="s">
        <v>17</v>
      </c>
      <c r="U15" s="773">
        <f t="shared" si="1"/>
        <v>102</v>
      </c>
      <c r="V15" s="772" t="s">
        <v>17</v>
      </c>
      <c r="W15" s="773">
        <f t="shared" si="2"/>
        <v>102</v>
      </c>
      <c r="X15" s="1811"/>
      <c r="Y15" s="3258"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3134</v>
      </c>
      <c r="D16" s="448"/>
      <c r="E16" s="2980" t="s">
        <v>3129</v>
      </c>
      <c r="F16" s="449"/>
      <c r="G16" s="2980" t="s">
        <v>3129</v>
      </c>
      <c r="H16" s="450"/>
      <c r="I16" s="2980" t="s">
        <v>3129</v>
      </c>
      <c r="J16" s="448"/>
      <c r="K16" s="615"/>
      <c r="L16" s="1141"/>
      <c r="M16" s="1132"/>
      <c r="N16" s="1132"/>
      <c r="O16" s="1132"/>
      <c r="P16" s="3257"/>
      <c r="Q16" s="1808"/>
      <c r="R16" s="772"/>
      <c r="S16" s="773"/>
      <c r="T16" s="772"/>
      <c r="U16" s="773"/>
      <c r="V16" s="772"/>
      <c r="W16" s="773"/>
      <c r="X16" s="1811"/>
      <c r="Y16" s="3259"/>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57"/>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1809">
        <f t="shared" si="5"/>
        <v>1</v>
      </c>
    </row>
    <row r="18" spans="1:29" ht="15">
      <c r="A18" s="428"/>
      <c r="B18" s="456"/>
      <c r="C18" s="2987" t="s">
        <v>3129</v>
      </c>
      <c r="D18" s="450"/>
      <c r="E18" s="2976" t="s">
        <v>3129</v>
      </c>
      <c r="F18" s="453"/>
      <c r="G18" s="2975" t="s">
        <v>3129</v>
      </c>
      <c r="H18" s="448"/>
      <c r="I18" s="2976" t="s">
        <v>3129</v>
      </c>
      <c r="J18" s="448"/>
      <c r="K18" s="615"/>
      <c r="L18" s="1141"/>
      <c r="M18" s="1132"/>
      <c r="N18" s="1132"/>
      <c r="O18" s="1132"/>
      <c r="P18" s="3257"/>
      <c r="Q18" s="1808"/>
      <c r="R18" s="772"/>
      <c r="S18" s="773"/>
      <c r="T18" s="772"/>
      <c r="U18" s="773"/>
      <c r="V18" s="772"/>
      <c r="W18" s="773"/>
      <c r="X18" s="1811"/>
      <c r="Y18" s="3259"/>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57"/>
      <c r="Q19" s="1808" t="str">
        <f>B19</f>
        <v>公共配套设施</v>
      </c>
      <c r="R19" s="772" t="s">
        <v>17</v>
      </c>
      <c r="S19" s="773">
        <f>F19</f>
        <v>100</v>
      </c>
      <c r="T19" s="772" t="s">
        <v>17</v>
      </c>
      <c r="U19" s="773">
        <f>H19</f>
        <v>100</v>
      </c>
      <c r="V19" s="772" t="s">
        <v>17</v>
      </c>
      <c r="W19" s="773">
        <f>J19</f>
        <v>100</v>
      </c>
      <c r="X19" s="1811"/>
      <c r="Y19" s="3259"/>
      <c r="Z19" s="1812" t="str">
        <f>Q19</f>
        <v>公共配套设施</v>
      </c>
      <c r="AA19" s="1809">
        <f t="shared" si="3"/>
        <v>1</v>
      </c>
      <c r="AB19" s="1809">
        <f t="shared" si="4"/>
        <v>1</v>
      </c>
      <c r="AC19" s="1809">
        <f t="shared" si="5"/>
        <v>1</v>
      </c>
    </row>
    <row r="20" spans="1:29" ht="15">
      <c r="A20" s="428"/>
      <c r="B20" s="456"/>
      <c r="C20" s="2980" t="s">
        <v>3129</v>
      </c>
      <c r="D20" s="448"/>
      <c r="E20" s="2979" t="s">
        <v>3129</v>
      </c>
      <c r="F20" s="449"/>
      <c r="G20" s="2978" t="s">
        <v>3129</v>
      </c>
      <c r="H20" s="448"/>
      <c r="I20" s="2979" t="s">
        <v>3129</v>
      </c>
      <c r="J20" s="448"/>
      <c r="K20" s="615"/>
      <c r="L20" s="1141"/>
      <c r="M20" s="1132"/>
      <c r="N20" s="1132"/>
      <c r="O20" s="1132"/>
      <c r="P20" s="3257"/>
      <c r="Q20" s="1808"/>
      <c r="R20" s="772"/>
      <c r="S20" s="773"/>
      <c r="T20" s="772"/>
      <c r="U20" s="773"/>
      <c r="V20" s="772"/>
      <c r="W20" s="773"/>
      <c r="X20" s="1811"/>
      <c r="Y20" s="3259"/>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57"/>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1809">
        <f t="shared" ref="AC21" si="10">D21/J21</f>
        <v>1</v>
      </c>
    </row>
    <row r="22" spans="1:29" ht="15">
      <c r="A22" s="428"/>
      <c r="B22" s="1385"/>
      <c r="C22" s="2987" t="s">
        <v>3130</v>
      </c>
      <c r="D22" s="448"/>
      <c r="E22" s="2980" t="s">
        <v>3130</v>
      </c>
      <c r="F22" s="449"/>
      <c r="G22" s="2980" t="s">
        <v>3130</v>
      </c>
      <c r="H22" s="448"/>
      <c r="I22" s="2980" t="s">
        <v>3130</v>
      </c>
      <c r="J22" s="448"/>
      <c r="K22" s="1384"/>
      <c r="L22" s="1141"/>
      <c r="M22" s="1132"/>
      <c r="N22" s="1132"/>
      <c r="O22" s="1132"/>
      <c r="P22" s="3257"/>
      <c r="Q22" s="1808"/>
      <c r="R22" s="772"/>
      <c r="S22" s="773"/>
      <c r="T22" s="772"/>
      <c r="U22" s="773"/>
      <c r="V22" s="772"/>
      <c r="W22" s="773"/>
      <c r="X22" s="1811"/>
      <c r="Y22" s="3259"/>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57"/>
      <c r="Q23" s="1808" t="str">
        <f>B23</f>
        <v>自然及人文环境</v>
      </c>
      <c r="R23" s="772" t="s">
        <v>17</v>
      </c>
      <c r="S23" s="773">
        <f>F23</f>
        <v>100</v>
      </c>
      <c r="T23" s="772" t="s">
        <v>17</v>
      </c>
      <c r="U23" s="773">
        <f>H23</f>
        <v>100</v>
      </c>
      <c r="V23" s="772" t="s">
        <v>17</v>
      </c>
      <c r="W23" s="773">
        <f>J23</f>
        <v>100</v>
      </c>
      <c r="X23" s="1811"/>
      <c r="Y23" s="3259"/>
      <c r="Z23" s="1812" t="str">
        <f>Q23</f>
        <v>自然及人文环境</v>
      </c>
      <c r="AA23" s="1809">
        <f t="shared" si="3"/>
        <v>1</v>
      </c>
      <c r="AB23" s="1809">
        <f t="shared" si="4"/>
        <v>1</v>
      </c>
      <c r="AC23" s="1809">
        <f t="shared" si="5"/>
        <v>1</v>
      </c>
    </row>
    <row r="24" spans="1:29" ht="15">
      <c r="A24" s="428"/>
      <c r="B24" s="456"/>
      <c r="C24" s="2980" t="s">
        <v>3129</v>
      </c>
      <c r="D24" s="448"/>
      <c r="E24" s="2979" t="s">
        <v>3129</v>
      </c>
      <c r="F24" s="449"/>
      <c r="G24" s="2978" t="s">
        <v>3129</v>
      </c>
      <c r="H24" s="448"/>
      <c r="I24" s="2979" t="s">
        <v>3129</v>
      </c>
      <c r="J24" s="448"/>
      <c r="K24" s="615"/>
      <c r="L24" s="1141"/>
      <c r="M24" s="1132"/>
      <c r="N24" s="1132"/>
      <c r="O24" s="1132"/>
      <c r="P24" s="3257"/>
      <c r="Q24" s="1808"/>
      <c r="R24" s="772"/>
      <c r="S24" s="773"/>
      <c r="T24" s="772"/>
      <c r="U24" s="773"/>
      <c r="V24" s="772"/>
      <c r="W24" s="773"/>
      <c r="X24" s="1811"/>
      <c r="Y24" s="3259"/>
      <c r="Z24" s="1812"/>
      <c r="AA24" s="1809">
        <v>1</v>
      </c>
      <c r="AB24" s="1809">
        <v>1</v>
      </c>
      <c r="AC24" s="1809">
        <v>1</v>
      </c>
    </row>
    <row r="25" spans="1:29" ht="15">
      <c r="A25" s="428"/>
      <c r="B25" s="422" t="s">
        <v>2657</v>
      </c>
      <c r="C25" s="2982" t="s">
        <v>3135</v>
      </c>
      <c r="D25" s="435">
        <v>100</v>
      </c>
      <c r="E25" s="2982" t="s">
        <v>3135</v>
      </c>
      <c r="F25" s="461">
        <f>SUMIF(86:86,E25,87:87)-SUMIF(86:86,C25,87:87)+100</f>
        <v>100</v>
      </c>
      <c r="G25" s="2982" t="s">
        <v>3135</v>
      </c>
      <c r="H25" s="435">
        <f>SUMIF(86:86,G25,87:87)-SUMIF(86:86,C25,87:87)+100</f>
        <v>100</v>
      </c>
      <c r="I25" s="2982" t="s">
        <v>3135</v>
      </c>
      <c r="J25" s="435">
        <f>SUMIF(86:86,I25,87:87)-SUMIF(86:86,C25,87:87)+100</f>
        <v>100</v>
      </c>
      <c r="K25" s="612">
        <v>2</v>
      </c>
      <c r="L25" s="1141"/>
      <c r="M25" s="1132"/>
      <c r="N25" s="1132"/>
      <c r="O25" s="1132"/>
      <c r="P25" s="3257"/>
      <c r="Q25" s="1808" t="str">
        <f t="shared" ref="Q25:Q46" si="11">B25</f>
        <v>临街状况</v>
      </c>
      <c r="R25" s="772" t="s">
        <v>17</v>
      </c>
      <c r="S25" s="773">
        <f>F25</f>
        <v>100</v>
      </c>
      <c r="T25" s="772" t="s">
        <v>17</v>
      </c>
      <c r="U25" s="773">
        <f>H25</f>
        <v>100</v>
      </c>
      <c r="V25" s="772" t="s">
        <v>17</v>
      </c>
      <c r="W25" s="773">
        <f>J25</f>
        <v>100</v>
      </c>
      <c r="X25" s="1811"/>
      <c r="Y25" s="3259"/>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57"/>
      <c r="Q26" s="1808" t="str">
        <f t="shared" si="11"/>
        <v>平面位置/可视性</v>
      </c>
      <c r="R26" s="772" t="s">
        <v>17</v>
      </c>
      <c r="S26" s="773">
        <f>F26</f>
        <v>100</v>
      </c>
      <c r="T26" s="772" t="s">
        <v>17</v>
      </c>
      <c r="U26" s="773">
        <f>H26</f>
        <v>100</v>
      </c>
      <c r="V26" s="772" t="s">
        <v>17</v>
      </c>
      <c r="W26" s="773">
        <f>J26</f>
        <v>100</v>
      </c>
      <c r="X26" s="1811"/>
      <c r="Y26" s="3259"/>
      <c r="Z26" s="1812" t="str">
        <f>Q26</f>
        <v>平面位置/可视性</v>
      </c>
      <c r="AA26" s="1809">
        <f t="shared" si="3"/>
        <v>1</v>
      </c>
      <c r="AB26" s="1809">
        <f t="shared" si="4"/>
        <v>1</v>
      </c>
      <c r="AC26" s="1809">
        <f t="shared" si="5"/>
        <v>1</v>
      </c>
    </row>
    <row r="27" spans="1:29" s="117" customFormat="1" ht="15">
      <c r="A27" s="431"/>
      <c r="B27" s="451" t="s">
        <v>2659</v>
      </c>
      <c r="C27" s="2989" t="s">
        <v>3134</v>
      </c>
      <c r="D27" s="462">
        <v>100</v>
      </c>
      <c r="E27" s="2989" t="s">
        <v>3136</v>
      </c>
      <c r="F27" s="464">
        <f>SUMIF(90:90,E27,91:91)-SUMIF(90:90,C27,91:91)+100</f>
        <v>102</v>
      </c>
      <c r="G27" s="2989" t="s">
        <v>3136</v>
      </c>
      <c r="H27" s="462">
        <f>SUMIF(90:90,G27,91:91)-SUMIF(90:90,C27,91:91)+100</f>
        <v>102</v>
      </c>
      <c r="I27" s="2989" t="s">
        <v>3136</v>
      </c>
      <c r="J27" s="462">
        <f>SUMIF(90:90,I27,91:91)-SUMIF(90:90,C27,91:91)+100</f>
        <v>102</v>
      </c>
      <c r="K27" s="612">
        <v>2</v>
      </c>
      <c r="L27" s="1133"/>
      <c r="M27" s="1134"/>
      <c r="N27" s="1134"/>
      <c r="O27" s="1134"/>
      <c r="P27" s="3257"/>
      <c r="Q27" s="1793" t="str">
        <f t="shared" si="11"/>
        <v>人流量</v>
      </c>
      <c r="R27" s="768" t="s">
        <v>17</v>
      </c>
      <c r="S27" s="769">
        <f>F27</f>
        <v>102</v>
      </c>
      <c r="T27" s="768" t="s">
        <v>17</v>
      </c>
      <c r="U27" s="769">
        <f>H27</f>
        <v>102</v>
      </c>
      <c r="V27" s="768" t="s">
        <v>17</v>
      </c>
      <c r="W27" s="769">
        <f>J27</f>
        <v>102</v>
      </c>
      <c r="X27" s="770"/>
      <c r="Y27" s="3259"/>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5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59"/>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57"/>
      <c r="Q29" s="1808">
        <f t="shared" si="11"/>
        <v>111</v>
      </c>
      <c r="R29" s="772" t="s">
        <v>17</v>
      </c>
      <c r="S29" s="773">
        <f t="shared" si="12"/>
        <v>100</v>
      </c>
      <c r="T29" s="772" t="s">
        <v>17</v>
      </c>
      <c r="U29" s="773">
        <f t="shared" si="13"/>
        <v>100</v>
      </c>
      <c r="V29" s="772" t="s">
        <v>17</v>
      </c>
      <c r="W29" s="773">
        <f t="shared" si="14"/>
        <v>100</v>
      </c>
      <c r="X29" s="1811"/>
      <c r="Y29" s="3259"/>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57"/>
      <c r="Q30" s="1808">
        <f t="shared" si="11"/>
        <v>111</v>
      </c>
      <c r="R30" s="772" t="s">
        <v>17</v>
      </c>
      <c r="S30" s="773">
        <f t="shared" si="12"/>
        <v>100</v>
      </c>
      <c r="T30" s="772" t="s">
        <v>17</v>
      </c>
      <c r="U30" s="773">
        <f t="shared" si="13"/>
        <v>100</v>
      </c>
      <c r="V30" s="772" t="s">
        <v>17</v>
      </c>
      <c r="W30" s="773">
        <f t="shared" si="14"/>
        <v>100</v>
      </c>
      <c r="X30" s="1811"/>
      <c r="Y30" s="3259"/>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57"/>
      <c r="Q31" s="1808">
        <f t="shared" si="11"/>
        <v>111</v>
      </c>
      <c r="R31" s="772" t="s">
        <v>17</v>
      </c>
      <c r="S31" s="773">
        <f t="shared" si="12"/>
        <v>100</v>
      </c>
      <c r="T31" s="772" t="s">
        <v>17</v>
      </c>
      <c r="U31" s="773">
        <f t="shared" si="13"/>
        <v>100</v>
      </c>
      <c r="V31" s="772" t="s">
        <v>17</v>
      </c>
      <c r="W31" s="773">
        <f t="shared" si="14"/>
        <v>100</v>
      </c>
      <c r="X31" s="1811"/>
      <c r="Y31" s="3259"/>
      <c r="Z31" s="1812">
        <f t="shared" si="15"/>
        <v>111</v>
      </c>
      <c r="AA31" s="1809">
        <f t="shared" si="3"/>
        <v>1</v>
      </c>
      <c r="AB31" s="1809">
        <f t="shared" si="4"/>
        <v>1</v>
      </c>
      <c r="AC31" s="1809">
        <f t="shared" si="5"/>
        <v>1</v>
      </c>
    </row>
    <row r="32" spans="1:29" ht="15">
      <c r="A32" s="440" t="s">
        <v>2564</v>
      </c>
      <c r="B32" s="71" t="s">
        <v>2661</v>
      </c>
      <c r="C32" s="2988" t="s">
        <v>3131</v>
      </c>
      <c r="D32" s="467">
        <v>100</v>
      </c>
      <c r="E32" s="2988" t="s">
        <v>3140</v>
      </c>
      <c r="F32" s="461">
        <f>SUMIF(100:100,E32,101:101)-SUMIF(100:100,C32,101:101)+100</f>
        <v>98</v>
      </c>
      <c r="G32" s="2988" t="s">
        <v>3141</v>
      </c>
      <c r="H32" s="435">
        <f>SUMIF(100:100,G32,101:101)-SUMIF(100:100,C32,101:101)+100</f>
        <v>98</v>
      </c>
      <c r="I32" s="2988" t="s">
        <v>3142</v>
      </c>
      <c r="J32" s="467">
        <f>SUMIF(100:100,I32,101:101)-SUMIF(100:100,C32,101:101)+100</f>
        <v>102</v>
      </c>
      <c r="K32" s="612">
        <v>2</v>
      </c>
      <c r="L32" s="1141"/>
      <c r="M32" s="1132"/>
      <c r="N32" s="1132"/>
      <c r="O32" s="1132"/>
      <c r="P32" s="3260" t="s">
        <v>2566</v>
      </c>
      <c r="Q32" s="1808" t="str">
        <f t="shared" si="11"/>
        <v>商业类型</v>
      </c>
      <c r="R32" s="772" t="s">
        <v>17</v>
      </c>
      <c r="S32" s="773">
        <f t="shared" si="12"/>
        <v>98</v>
      </c>
      <c r="T32" s="772" t="s">
        <v>17</v>
      </c>
      <c r="U32" s="773">
        <f t="shared" si="13"/>
        <v>98</v>
      </c>
      <c r="V32" s="772" t="s">
        <v>17</v>
      </c>
      <c r="W32" s="773">
        <f t="shared" si="14"/>
        <v>102</v>
      </c>
      <c r="X32" s="1811"/>
      <c r="Y32" s="3263"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61"/>
      <c r="Q33" s="774" t="str">
        <f t="shared" si="11"/>
        <v>项目建筑规模</v>
      </c>
      <c r="R33" s="775" t="s">
        <v>17</v>
      </c>
      <c r="S33" s="776">
        <f t="shared" si="12"/>
        <v>100</v>
      </c>
      <c r="T33" s="775" t="s">
        <v>17</v>
      </c>
      <c r="U33" s="776">
        <f t="shared" si="13"/>
        <v>96</v>
      </c>
      <c r="V33" s="775" t="s">
        <v>17</v>
      </c>
      <c r="W33" s="776">
        <f t="shared" si="14"/>
        <v>98</v>
      </c>
      <c r="X33" s="777"/>
      <c r="Y33" s="3263"/>
      <c r="Z33" s="778" t="str">
        <f t="shared" si="15"/>
        <v>项目建筑规模</v>
      </c>
      <c r="AA33" s="1809">
        <f t="shared" si="3"/>
        <v>1</v>
      </c>
      <c r="AB33" s="1809">
        <f t="shared" si="4"/>
        <v>1.0416666666666667</v>
      </c>
      <c r="AC33" s="1809">
        <f t="shared" si="5"/>
        <v>1.0204081632653061</v>
      </c>
    </row>
    <row r="34" spans="1:29" ht="15">
      <c r="A34" s="472"/>
      <c r="B34" s="422" t="s">
        <v>2568</v>
      </c>
      <c r="C34" s="2991" t="s">
        <v>3146</v>
      </c>
      <c r="D34" s="435">
        <v>100</v>
      </c>
      <c r="E34" s="2991" t="s">
        <v>3146</v>
      </c>
      <c r="F34" s="461">
        <f>SUMIF(105:105,E34,106:106)-SUMIF(105:105,C34,106:106)+100</f>
        <v>100</v>
      </c>
      <c r="G34" s="2991" t="s">
        <v>3146</v>
      </c>
      <c r="H34" s="435">
        <f>SUMIF(105:105,G34,106:106)-SUMIF(105:105,C34,106:106)+100</f>
        <v>100</v>
      </c>
      <c r="I34" s="2991" t="s">
        <v>3147</v>
      </c>
      <c r="J34" s="435">
        <f>SUMIF(105:105,I34,106:106)-SUMIF(105:105,C34,106:106)+100</f>
        <v>100</v>
      </c>
      <c r="K34" s="612">
        <v>2</v>
      </c>
      <c r="L34" s="1141"/>
      <c r="M34" s="1132"/>
      <c r="N34" s="1132"/>
      <c r="O34" s="1132"/>
      <c r="P34" s="3261"/>
      <c r="Q34" s="1808" t="str">
        <f t="shared" si="11"/>
        <v>建筑结构</v>
      </c>
      <c r="R34" s="772" t="s">
        <v>17</v>
      </c>
      <c r="S34" s="773">
        <f t="shared" si="12"/>
        <v>100</v>
      </c>
      <c r="T34" s="772" t="s">
        <v>17</v>
      </c>
      <c r="U34" s="773">
        <f t="shared" si="13"/>
        <v>100</v>
      </c>
      <c r="V34" s="772" t="s">
        <v>17</v>
      </c>
      <c r="W34" s="773">
        <f t="shared" si="14"/>
        <v>100</v>
      </c>
      <c r="X34" s="1811"/>
      <c r="Y34" s="3263"/>
      <c r="Z34" s="1812" t="str">
        <f t="shared" si="15"/>
        <v>建筑结构</v>
      </c>
      <c r="AA34" s="1809">
        <f t="shared" si="3"/>
        <v>1</v>
      </c>
      <c r="AB34" s="1809">
        <f t="shared" si="4"/>
        <v>1</v>
      </c>
      <c r="AC34" s="1809">
        <f t="shared" si="5"/>
        <v>1</v>
      </c>
    </row>
    <row r="35" spans="1:29" ht="15">
      <c r="A35" s="472"/>
      <c r="B35" s="422" t="s">
        <v>2662</v>
      </c>
      <c r="C35" s="2986" t="s">
        <v>3148</v>
      </c>
      <c r="D35" s="435">
        <v>100</v>
      </c>
      <c r="E35" s="2986" t="s">
        <v>3148</v>
      </c>
      <c r="F35" s="461">
        <f>SUMIF(107:107,E35,108:108)-SUMIF(107:107,C35,108:108)+100</f>
        <v>100</v>
      </c>
      <c r="G35" s="2986" t="s">
        <v>3148</v>
      </c>
      <c r="H35" s="435">
        <f>SUMIF(107:107,G35,108:108)-SUMIF(107:107,C35,108:108)+100</f>
        <v>100</v>
      </c>
      <c r="I35" s="2986" t="s">
        <v>3148</v>
      </c>
      <c r="J35" s="435">
        <f>SUMIF(107:107,I35,108:108)-SUMIF(107:107,C35,108:108)+100</f>
        <v>100</v>
      </c>
      <c r="K35" s="612">
        <v>2</v>
      </c>
      <c r="L35" s="1141"/>
      <c r="M35" s="1132"/>
      <c r="N35" s="1132"/>
      <c r="O35" s="1132"/>
      <c r="P35" s="3261"/>
      <c r="Q35" s="1808" t="str">
        <f t="shared" si="11"/>
        <v>公共部分装修</v>
      </c>
      <c r="R35" s="772" t="s">
        <v>17</v>
      </c>
      <c r="S35" s="773">
        <f t="shared" si="12"/>
        <v>100</v>
      </c>
      <c r="T35" s="772" t="s">
        <v>17</v>
      </c>
      <c r="U35" s="773">
        <f t="shared" si="13"/>
        <v>100</v>
      </c>
      <c r="V35" s="772" t="s">
        <v>17</v>
      </c>
      <c r="W35" s="773">
        <f t="shared" si="14"/>
        <v>100</v>
      </c>
      <c r="X35" s="1811"/>
      <c r="Y35" s="3263"/>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61"/>
      <c r="Q36" s="1808" t="str">
        <f t="shared" si="11"/>
        <v>成新度</v>
      </c>
      <c r="R36" s="772" t="s">
        <v>17</v>
      </c>
      <c r="S36" s="773">
        <f t="shared" si="12"/>
        <v>100</v>
      </c>
      <c r="T36" s="772" t="s">
        <v>17</v>
      </c>
      <c r="U36" s="773">
        <f t="shared" si="13"/>
        <v>100</v>
      </c>
      <c r="V36" s="772" t="s">
        <v>17</v>
      </c>
      <c r="W36" s="773">
        <f t="shared" si="14"/>
        <v>100</v>
      </c>
      <c r="X36" s="1811"/>
      <c r="Y36" s="3263"/>
      <c r="Z36" s="1812" t="str">
        <f t="shared" si="15"/>
        <v>成新度</v>
      </c>
      <c r="AA36" s="1809">
        <f t="shared" si="3"/>
        <v>1</v>
      </c>
      <c r="AB36" s="1809">
        <f t="shared" si="4"/>
        <v>1</v>
      </c>
      <c r="AC36" s="1809">
        <f t="shared" si="5"/>
        <v>1</v>
      </c>
    </row>
    <row r="37" spans="1:29" s="117" customFormat="1" ht="15">
      <c r="A37" s="473"/>
      <c r="B37" s="422" t="s">
        <v>2664</v>
      </c>
      <c r="C37" s="2996" t="s">
        <v>3130</v>
      </c>
      <c r="D37" s="136">
        <v>100</v>
      </c>
      <c r="E37" s="2986" t="s">
        <v>3130</v>
      </c>
      <c r="F37" s="461">
        <f>SUMIF(112:112,E37,113:113)-SUMIF(112:112,C37,113:113)+100</f>
        <v>100</v>
      </c>
      <c r="G37" s="2986" t="s">
        <v>3130</v>
      </c>
      <c r="H37" s="435">
        <f>SUMIF(112:112,G37,113:113)-SUMIF(112:112,C37,113:113)+100</f>
        <v>100</v>
      </c>
      <c r="I37" s="2986" t="s">
        <v>3179</v>
      </c>
      <c r="J37" s="435">
        <f>SUMIF(112:112,I37,113:113)-SUMIF(112:112,C37,113:113)+100</f>
        <v>96</v>
      </c>
      <c r="K37" s="612">
        <v>2</v>
      </c>
      <c r="L37" s="1133"/>
      <c r="M37" s="1134"/>
      <c r="N37" s="1134"/>
      <c r="O37" s="1134"/>
      <c r="P37" s="3261"/>
      <c r="Q37" s="1793" t="str">
        <f t="shared" si="11"/>
        <v>市政基础设施</v>
      </c>
      <c r="R37" s="768" t="s">
        <v>17</v>
      </c>
      <c r="S37" s="769">
        <f t="shared" si="12"/>
        <v>100</v>
      </c>
      <c r="T37" s="768" t="s">
        <v>17</v>
      </c>
      <c r="U37" s="769">
        <f t="shared" si="13"/>
        <v>100</v>
      </c>
      <c r="V37" s="768" t="s">
        <v>17</v>
      </c>
      <c r="W37" s="769">
        <f t="shared" si="14"/>
        <v>96</v>
      </c>
      <c r="X37" s="770"/>
      <c r="Y37" s="3263"/>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61" t="s">
        <v>2566</v>
      </c>
      <c r="Q38" s="1808" t="str">
        <f t="shared" si="11"/>
        <v>业态</v>
      </c>
      <c r="R38" s="772" t="s">
        <v>17</v>
      </c>
      <c r="S38" s="773">
        <f t="shared" si="12"/>
        <v>100</v>
      </c>
      <c r="T38" s="772" t="s">
        <v>17</v>
      </c>
      <c r="U38" s="773">
        <f t="shared" si="13"/>
        <v>100</v>
      </c>
      <c r="V38" s="772" t="s">
        <v>17</v>
      </c>
      <c r="W38" s="773">
        <f t="shared" si="14"/>
        <v>100</v>
      </c>
      <c r="X38" s="1811"/>
      <c r="Y38" s="3263" t="s">
        <v>2566</v>
      </c>
      <c r="Z38" s="1812" t="str">
        <f t="shared" si="15"/>
        <v>业态</v>
      </c>
      <c r="AA38" s="1809">
        <f t="shared" si="3"/>
        <v>1</v>
      </c>
      <c r="AB38" s="1809">
        <f t="shared" si="4"/>
        <v>1</v>
      </c>
      <c r="AC38" s="1809">
        <f t="shared" si="5"/>
        <v>1</v>
      </c>
    </row>
    <row r="39" spans="1:29" ht="15">
      <c r="A39" s="472"/>
      <c r="B39" s="422" t="s">
        <v>2666</v>
      </c>
      <c r="C39" s="2986" t="s">
        <v>3149</v>
      </c>
      <c r="D39" s="435">
        <v>100</v>
      </c>
      <c r="E39" s="2986" t="s">
        <v>3149</v>
      </c>
      <c r="F39" s="461">
        <f>SUMIF(116:116,E39,117:117)-SUMIF(116:116,C39,117:117)+100</f>
        <v>100</v>
      </c>
      <c r="G39" s="2986" t="s">
        <v>3149</v>
      </c>
      <c r="H39" s="435">
        <f>SUMIF(116:116,G39,117:117)-SUMIF(116:116,C39,117:117)+100</f>
        <v>100</v>
      </c>
      <c r="I39" s="2986" t="s">
        <v>3149</v>
      </c>
      <c r="J39" s="435">
        <f>SUMIF(116:116,I39,117:117)-SUMIF(116:116,C39,117:117)+100</f>
        <v>100</v>
      </c>
      <c r="K39" s="612">
        <v>2</v>
      </c>
      <c r="L39" s="1141"/>
      <c r="M39" s="1132"/>
      <c r="N39" s="1132"/>
      <c r="O39" s="1132"/>
      <c r="P39" s="3261"/>
      <c r="Q39" s="1808" t="str">
        <f t="shared" si="11"/>
        <v>层高</v>
      </c>
      <c r="R39" s="772" t="s">
        <v>17</v>
      </c>
      <c r="S39" s="773">
        <f t="shared" si="12"/>
        <v>100</v>
      </c>
      <c r="T39" s="772" t="s">
        <v>17</v>
      </c>
      <c r="U39" s="773">
        <f t="shared" si="13"/>
        <v>100</v>
      </c>
      <c r="V39" s="772" t="s">
        <v>17</v>
      </c>
      <c r="W39" s="773">
        <f t="shared" si="14"/>
        <v>100</v>
      </c>
      <c r="X39" s="1811"/>
      <c r="Y39" s="3263"/>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61"/>
      <c r="Q40" s="1808" t="str">
        <f t="shared" si="11"/>
        <v>单套建筑面积</v>
      </c>
      <c r="R40" s="772" t="s">
        <v>17</v>
      </c>
      <c r="S40" s="773">
        <f t="shared" si="12"/>
        <v>100</v>
      </c>
      <c r="T40" s="772" t="s">
        <v>17</v>
      </c>
      <c r="U40" s="773">
        <f t="shared" si="13"/>
        <v>100</v>
      </c>
      <c r="V40" s="772" t="s">
        <v>17</v>
      </c>
      <c r="W40" s="773">
        <f t="shared" si="14"/>
        <v>100</v>
      </c>
      <c r="X40" s="1811"/>
      <c r="Y40" s="3263"/>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61"/>
      <c r="Q41" s="774" t="str">
        <f t="shared" si="11"/>
        <v>进深比</v>
      </c>
      <c r="R41" s="775" t="s">
        <v>17</v>
      </c>
      <c r="S41" s="776">
        <f t="shared" si="12"/>
        <v>100</v>
      </c>
      <c r="T41" s="775" t="s">
        <v>17</v>
      </c>
      <c r="U41" s="776">
        <f t="shared" si="13"/>
        <v>100</v>
      </c>
      <c r="V41" s="775" t="s">
        <v>17</v>
      </c>
      <c r="W41" s="776">
        <f t="shared" si="14"/>
        <v>100</v>
      </c>
      <c r="X41" s="777"/>
      <c r="Y41" s="3263"/>
      <c r="Z41" s="778" t="str">
        <f t="shared" si="15"/>
        <v>进深比</v>
      </c>
      <c r="AA41" s="1809">
        <f t="shared" si="3"/>
        <v>1</v>
      </c>
      <c r="AB41" s="1809">
        <f t="shared" si="4"/>
        <v>1</v>
      </c>
      <c r="AC41" s="1809">
        <f t="shared" si="5"/>
        <v>1</v>
      </c>
    </row>
    <row r="42" spans="1:29" ht="15">
      <c r="A42" s="472"/>
      <c r="B42" s="422" t="s">
        <v>2669</v>
      </c>
      <c r="C42" s="2986" t="s">
        <v>3158</v>
      </c>
      <c r="D42" s="435">
        <v>100</v>
      </c>
      <c r="E42" s="2986" t="s">
        <v>3159</v>
      </c>
      <c r="F42" s="461">
        <f>SUMIF(122:122,E42,123:123)-SUMIF(122:122,C42,123:123)+100</f>
        <v>102</v>
      </c>
      <c r="G42" s="2986" t="s">
        <v>3159</v>
      </c>
      <c r="H42" s="435">
        <f>SUMIF(122:122,G42,123:123)-SUMIF(122:122,C42,123:123)+100</f>
        <v>102</v>
      </c>
      <c r="I42" s="2986" t="s">
        <v>3160</v>
      </c>
      <c r="J42" s="435">
        <f>SUMIF(122:122,I42,123:123)-SUMIF(122:122,C42,123:123)+100</f>
        <v>102</v>
      </c>
      <c r="K42" s="612">
        <v>1</v>
      </c>
      <c r="L42" s="1141"/>
      <c r="M42" s="1132"/>
      <c r="N42" s="1132"/>
      <c r="O42" s="1132"/>
      <c r="P42" s="3261"/>
      <c r="Q42" s="1808" t="str">
        <f t="shared" si="11"/>
        <v>内部装修</v>
      </c>
      <c r="R42" s="772" t="s">
        <v>17</v>
      </c>
      <c r="S42" s="773">
        <f t="shared" si="12"/>
        <v>102</v>
      </c>
      <c r="T42" s="772" t="s">
        <v>17</v>
      </c>
      <c r="U42" s="773">
        <f t="shared" si="13"/>
        <v>102</v>
      </c>
      <c r="V42" s="772" t="s">
        <v>17</v>
      </c>
      <c r="W42" s="773">
        <f t="shared" si="14"/>
        <v>102</v>
      </c>
      <c r="X42" s="1811"/>
      <c r="Y42" s="3263"/>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3129</v>
      </c>
      <c r="D43" s="435">
        <v>100</v>
      </c>
      <c r="E43" s="2986" t="s">
        <v>3129</v>
      </c>
      <c r="F43" s="461">
        <f>SUMIF(124:124,E43,125:125)-SUMIF(124:124,C43,125:125)+100</f>
        <v>100</v>
      </c>
      <c r="G43" s="2986" t="s">
        <v>3129</v>
      </c>
      <c r="H43" s="435">
        <f>SUMIF(124:124,G43,125:125)-SUMIF(124:124,C43,125:125)+100</f>
        <v>100</v>
      </c>
      <c r="I43" s="2986" t="s">
        <v>3129</v>
      </c>
      <c r="J43" s="435">
        <f>SUMIF(124:124,I43,125:125)-SUMIF(124:124,C43,125:125)+100</f>
        <v>100</v>
      </c>
      <c r="K43" s="612">
        <v>2</v>
      </c>
      <c r="L43" s="1141"/>
      <c r="M43" s="1132"/>
      <c r="N43" s="1132"/>
      <c r="O43" s="1132"/>
      <c r="P43" s="3261"/>
      <c r="Q43" s="1808" t="str">
        <f t="shared" si="11"/>
        <v>内部装修维护情况</v>
      </c>
      <c r="R43" s="772" t="s">
        <v>17</v>
      </c>
      <c r="S43" s="773">
        <f t="shared" si="12"/>
        <v>100</v>
      </c>
      <c r="T43" s="772" t="s">
        <v>17</v>
      </c>
      <c r="U43" s="773">
        <f t="shared" si="13"/>
        <v>100</v>
      </c>
      <c r="V43" s="772" t="s">
        <v>17</v>
      </c>
      <c r="W43" s="773">
        <f t="shared" si="14"/>
        <v>100</v>
      </c>
      <c r="X43" s="1811"/>
      <c r="Y43" s="3263"/>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61"/>
      <c r="Q44" s="1793">
        <f t="shared" si="11"/>
        <v>111</v>
      </c>
      <c r="R44" s="768" t="s">
        <v>17</v>
      </c>
      <c r="S44" s="769">
        <f t="shared" si="12"/>
        <v>100</v>
      </c>
      <c r="T44" s="768" t="s">
        <v>17</v>
      </c>
      <c r="U44" s="769">
        <f t="shared" si="13"/>
        <v>100</v>
      </c>
      <c r="V44" s="768" t="s">
        <v>17</v>
      </c>
      <c r="W44" s="769">
        <f t="shared" si="14"/>
        <v>100</v>
      </c>
      <c r="X44" s="770"/>
      <c r="Y44" s="3263"/>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61"/>
      <c r="Q45" s="1808">
        <f t="shared" si="11"/>
        <v>111</v>
      </c>
      <c r="R45" s="772" t="s">
        <v>17</v>
      </c>
      <c r="S45" s="773">
        <f t="shared" si="12"/>
        <v>100</v>
      </c>
      <c r="T45" s="772" t="s">
        <v>17</v>
      </c>
      <c r="U45" s="773">
        <f t="shared" si="13"/>
        <v>100</v>
      </c>
      <c r="V45" s="772" t="s">
        <v>17</v>
      </c>
      <c r="W45" s="773">
        <f t="shared" si="14"/>
        <v>100</v>
      </c>
      <c r="X45" s="1811"/>
      <c r="Y45" s="3263"/>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62"/>
      <c r="Q46" s="1808">
        <f t="shared" si="11"/>
        <v>0.93</v>
      </c>
      <c r="R46" s="772" t="s">
        <v>17</v>
      </c>
      <c r="S46" s="773">
        <f t="shared" si="12"/>
        <v>100</v>
      </c>
      <c r="T46" s="772" t="s">
        <v>17</v>
      </c>
      <c r="U46" s="773">
        <f t="shared" si="13"/>
        <v>100</v>
      </c>
      <c r="V46" s="772" t="s">
        <v>17</v>
      </c>
      <c r="W46" s="773">
        <f t="shared" si="14"/>
        <v>100</v>
      </c>
      <c r="X46" s="1811"/>
      <c r="Y46" s="3264"/>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65" t="str">
        <f>A47</f>
        <v>成交单价（元/平方米）</v>
      </c>
      <c r="Q47" s="3265"/>
      <c r="R47" s="3227">
        <f>E47</f>
        <v>28551</v>
      </c>
      <c r="S47" s="3227"/>
      <c r="T47" s="3227">
        <f>G47</f>
        <v>27900</v>
      </c>
      <c r="U47" s="3227"/>
      <c r="V47" s="3227">
        <f>I47</f>
        <v>30690</v>
      </c>
      <c r="W47" s="3227"/>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65" t="str">
        <f>A48</f>
        <v>比较价值（元/平方米）</v>
      </c>
      <c r="Q48" s="3265"/>
      <c r="R48" s="3266">
        <f>IF(F1="售价",ROUND(PRODUCT(R47,AA7:AA46),0),ROUND(PRODUCT(R47,AA7:AA46),1))</f>
        <v>27453</v>
      </c>
      <c r="S48" s="3266"/>
      <c r="T48" s="3266">
        <f>IF(F1="售价",ROUND(PRODUCT(T47,AB7:AB46),0),ROUND(PRODUCT(T47,AB7:AB46),1))</f>
        <v>27945</v>
      </c>
      <c r="U48" s="3266"/>
      <c r="V48" s="3266">
        <f>IF(F1="售价",ROUND(PRODUCT(V47,AC7:AC46),0),ROUND(PRODUCT(V47,AC7:AC46),1))</f>
        <v>30137</v>
      </c>
      <c r="W48" s="3266"/>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67" t="str">
        <f>A49</f>
        <v>估价对象XX用房的比较价值（楼面单价，元/平方米）</v>
      </c>
      <c r="Q49" s="3268"/>
      <c r="R49" s="3269">
        <f>IF(F1="售价",ROUND(AVERAGE(R48:V48),0),ROUND(AVERAGE(R48:V48),1))</f>
        <v>28512</v>
      </c>
      <c r="S49" s="3269"/>
      <c r="T49" s="3269"/>
      <c r="U49" s="3269"/>
      <c r="V49" s="3269"/>
      <c r="W49" s="326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3137</v>
      </c>
      <c r="D90" s="2983" t="s">
        <v>3136</v>
      </c>
      <c r="E90" s="2983" t="s">
        <v>3134</v>
      </c>
      <c r="F90" s="2983" t="s">
        <v>3138</v>
      </c>
      <c r="G90" s="2983" t="s">
        <v>3139</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3143</v>
      </c>
      <c r="D100" s="2990" t="s">
        <v>3144</v>
      </c>
      <c r="E100" s="2990" t="s">
        <v>3145</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3181</v>
      </c>
      <c r="D112" s="2983" t="s">
        <v>3182</v>
      </c>
      <c r="E112" s="2983" t="s">
        <v>3183</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3161</v>
      </c>
      <c r="D122" s="2983" t="s">
        <v>3162</v>
      </c>
      <c r="E122" s="2983" t="s">
        <v>3163</v>
      </c>
      <c r="F122" s="2994" t="s">
        <v>3164</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8" priority="17" stopIfTrue="1" operator="containsText" text="超过">
      <formula>NOT(ISERROR(SEARCH("超过",F52)))</formula>
    </cfRule>
  </conditionalFormatting>
  <conditionalFormatting sqref="H54">
    <cfRule type="containsText" dxfId="157" priority="15" stopIfTrue="1" operator="containsText" text="超过">
      <formula>NOT(ISERROR(SEARCH("超过",H54)))</formula>
    </cfRule>
  </conditionalFormatting>
  <conditionalFormatting sqref="F54">
    <cfRule type="containsText" dxfId="156" priority="14" stopIfTrue="1" operator="containsText" text="超过">
      <formula>NOT(ISERROR(SEARCH("超过",F54)))</formula>
    </cfRule>
  </conditionalFormatting>
  <conditionalFormatting sqref="F53 H53">
    <cfRule type="containsText" dxfId="155" priority="13" stopIfTrue="1" operator="containsText" text="超过">
      <formula>NOT(ISERROR(SEARCH("超过",F53)))</formula>
    </cfRule>
  </conditionalFormatting>
  <conditionalFormatting sqref="E52">
    <cfRule type="expression" dxfId="154" priority="12" stopIfTrue="1">
      <formula>$F$52="超过30%"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4">
    <cfRule type="expression" dxfId="151" priority="9" stopIfTrue="1">
      <formula>$H$54="超过30%"</formula>
    </cfRule>
  </conditionalFormatting>
  <conditionalFormatting sqref="G52">
    <cfRule type="expression" dxfId="150" priority="8" stopIfTrue="1">
      <formula>$H$52="超过30%"</formula>
    </cfRule>
  </conditionalFormatting>
  <conditionalFormatting sqref="G53">
    <cfRule type="expression" dxfId="149" priority="7" stopIfTrue="1">
      <formula>$H$53="超过20%"</formula>
    </cfRule>
  </conditionalFormatting>
  <conditionalFormatting sqref="J52">
    <cfRule type="containsText" dxfId="148" priority="6" stopIfTrue="1" operator="containsText" text="超过">
      <formula>NOT(ISERROR(SEARCH("超过",J52)))</formula>
    </cfRule>
  </conditionalFormatting>
  <conditionalFormatting sqref="J54">
    <cfRule type="containsText" dxfId="147" priority="5" stopIfTrue="1" operator="containsText" text="超过">
      <formula>NOT(ISERROR(SEARCH("超过",J54)))</formula>
    </cfRule>
  </conditionalFormatting>
  <conditionalFormatting sqref="J53">
    <cfRule type="containsText" dxfId="146" priority="4" stopIfTrue="1" operator="containsText" text="超过">
      <formula>NOT(ISERROR(SEARCH("超过",J53)))</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1" t="s">
        <v>3006</v>
      </c>
      <c r="D1" s="3272"/>
      <c r="E1" s="3272"/>
      <c r="F1" s="3272"/>
      <c r="G1" s="3272"/>
      <c r="H1" s="3272"/>
      <c r="I1" s="3272"/>
      <c r="J1" s="3272"/>
      <c r="K1" s="3272"/>
      <c r="L1" s="3272"/>
      <c r="M1" s="3272"/>
      <c r="N1" s="3272"/>
      <c r="O1" s="3272"/>
      <c r="P1" s="3272"/>
      <c r="Q1" s="3272"/>
      <c r="R1" s="3272"/>
      <c r="S1" s="3273"/>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136" t="s">
        <v>33</v>
      </c>
      <c r="D22" s="3137"/>
      <c r="E22" s="3137"/>
      <c r="F22" s="3137"/>
      <c r="G22" s="3137"/>
      <c r="H22" s="3137"/>
      <c r="I22" s="3137"/>
      <c r="J22" s="3137"/>
      <c r="K22" s="3137"/>
      <c r="L22" s="3137"/>
      <c r="M22" s="3137"/>
      <c r="N22" s="3137"/>
      <c r="O22" s="3137"/>
      <c r="P22" s="3137"/>
      <c r="Q22" s="3270"/>
      <c r="R22" s="714">
        <f>ROUND(S22*10000/B22,0)</f>
        <v>21194</v>
      </c>
      <c r="S22" s="24">
        <f>SUM(S24:S10000)</f>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f>商业面积!A2</f>
        <v>101</v>
      </c>
      <c r="B24" s="716">
        <f>商业面积!D2</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f>商业面积!A3</f>
        <v>102</v>
      </c>
      <c r="B25" s="716">
        <f>商业面积!D3</f>
        <v>70.77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28512</v>
      </c>
      <c r="S25" s="361">
        <f t="shared" si="11"/>
        <v>202</v>
      </c>
    </row>
    <row r="26" spans="1:45">
      <c r="A26" s="716">
        <f>商业面积!A4</f>
        <v>103</v>
      </c>
      <c r="B26" s="716">
        <f>商业面积!D4</f>
        <v>127.93</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357</v>
      </c>
    </row>
    <row r="27" spans="1:45">
      <c r="A27" s="716">
        <f>商业面积!A5</f>
        <v>104</v>
      </c>
      <c r="B27" s="716">
        <f>商业面积!D5</f>
        <v>165.57</v>
      </c>
      <c r="C27" s="24">
        <f t="shared" si="12"/>
        <v>0.96</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27372</v>
      </c>
      <c r="S27" s="361">
        <f t="shared" si="11"/>
        <v>453</v>
      </c>
    </row>
    <row r="28" spans="1:45">
      <c r="A28" s="716">
        <f>商业面积!A6</f>
        <v>105</v>
      </c>
      <c r="B28" s="716">
        <f>商业面积!D6</f>
        <v>125.17</v>
      </c>
      <c r="C28" s="24">
        <f t="shared" si="12"/>
        <v>0.98</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27942</v>
      </c>
      <c r="S28" s="361">
        <f t="shared" si="11"/>
        <v>350</v>
      </c>
    </row>
    <row r="29" spans="1:45">
      <c r="A29" s="716">
        <f>商业面积!A7</f>
        <v>106</v>
      </c>
      <c r="B29" s="716">
        <f>商业面积!D7</f>
        <v>239.87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643</v>
      </c>
    </row>
    <row r="30" spans="1:45">
      <c r="A30" s="716">
        <f>商业面积!A8</f>
        <v>107</v>
      </c>
      <c r="B30" s="716">
        <f>商业面积!D8</f>
        <v>155.21</v>
      </c>
      <c r="C30" s="24">
        <f t="shared" si="12"/>
        <v>0.96</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27372</v>
      </c>
      <c r="S30" s="361">
        <f t="shared" si="11"/>
        <v>425</v>
      </c>
    </row>
    <row r="31" spans="1:45">
      <c r="A31" s="716">
        <f>商业面积!A9</f>
        <v>108</v>
      </c>
      <c r="B31" s="716">
        <f>商业面积!D9</f>
        <v>208.7</v>
      </c>
      <c r="C31" s="24">
        <f t="shared" si="12"/>
        <v>0.94</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26801</v>
      </c>
      <c r="S31" s="361">
        <f t="shared" si="11"/>
        <v>559</v>
      </c>
    </row>
    <row r="32" spans="1:45">
      <c r="A32" s="716">
        <f>商业面积!A10</f>
        <v>109</v>
      </c>
      <c r="B32" s="716">
        <f>商业面积!D10</f>
        <v>203.52</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545</v>
      </c>
    </row>
    <row r="33" spans="1:19">
      <c r="A33" s="716">
        <f>商业面积!A11</f>
        <v>110</v>
      </c>
      <c r="B33" s="716">
        <f>商业面积!D11</f>
        <v>192.7</v>
      </c>
      <c r="C33" s="24">
        <f t="shared" si="12"/>
        <v>0.96</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27372</v>
      </c>
      <c r="S33" s="361">
        <f t="shared" si="11"/>
        <v>527</v>
      </c>
    </row>
    <row r="34" spans="1:19">
      <c r="A34" s="716">
        <f>商业面积!A12</f>
        <v>111</v>
      </c>
      <c r="B34" s="716">
        <f>商业面积!D12</f>
        <v>204.97</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f>商业面积!A13</f>
        <v>112</v>
      </c>
      <c r="B35" s="716">
        <f>商业面积!D13</f>
        <v>203.52</v>
      </c>
      <c r="C35" s="24">
        <f t="shared" si="12"/>
        <v>0.94</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26801</v>
      </c>
      <c r="S35" s="361">
        <f t="shared" si="11"/>
        <v>545</v>
      </c>
    </row>
    <row r="36" spans="1:19">
      <c r="A36" s="716">
        <f>商业面积!A14</f>
        <v>113</v>
      </c>
      <c r="B36" s="716">
        <f>商业面积!D14</f>
        <v>204.98</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549</v>
      </c>
    </row>
    <row r="37" spans="1:19">
      <c r="A37" s="716">
        <f>商业面积!A15</f>
        <v>114</v>
      </c>
      <c r="B37" s="716">
        <f>商业面积!D15</f>
        <v>192.72</v>
      </c>
      <c r="C37" s="24">
        <f t="shared" si="12"/>
        <v>0.96</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27372</v>
      </c>
      <c r="S37" s="361">
        <f t="shared" si="11"/>
        <v>528</v>
      </c>
    </row>
    <row r="38" spans="1:19">
      <c r="A38" s="716">
        <f>商业面积!A16</f>
        <v>115</v>
      </c>
      <c r="B38" s="716">
        <f>商业面积!D16</f>
        <v>203.52</v>
      </c>
      <c r="C38" s="24">
        <f t="shared" si="12"/>
        <v>0.94</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26801</v>
      </c>
      <c r="S38" s="361">
        <f t="shared" si="11"/>
        <v>545</v>
      </c>
    </row>
    <row r="39" spans="1:19">
      <c r="A39" s="716">
        <f>商业面积!A17</f>
        <v>116</v>
      </c>
      <c r="B39" s="716">
        <f>商业面积!D17</f>
        <v>208.81</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560</v>
      </c>
    </row>
    <row r="40" spans="1:19">
      <c r="A40" s="716">
        <f>商业面积!A18</f>
        <v>117</v>
      </c>
      <c r="B40" s="716">
        <f>商业面积!D18</f>
        <v>154.65</v>
      </c>
      <c r="C40" s="24">
        <f t="shared" si="12"/>
        <v>0.96</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27372</v>
      </c>
      <c r="S40" s="361">
        <f t="shared" si="11"/>
        <v>423</v>
      </c>
    </row>
    <row r="41" spans="1:19">
      <c r="A41" s="716">
        <f>商业面积!A19</f>
        <v>118</v>
      </c>
      <c r="B41" s="716">
        <f>商业面积!D19</f>
        <v>239.78</v>
      </c>
      <c r="C41" s="24">
        <f t="shared" si="12"/>
        <v>0.94</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26801</v>
      </c>
      <c r="S41" s="361">
        <f t="shared" si="11"/>
        <v>643</v>
      </c>
    </row>
    <row r="42" spans="1:19">
      <c r="A42" s="716">
        <f>商业面积!A20</f>
        <v>119</v>
      </c>
      <c r="B42" s="716">
        <f>商业面积!D20</f>
        <v>125.17</v>
      </c>
      <c r="C42" s="24">
        <f t="shared" si="12"/>
        <v>0.98</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27942</v>
      </c>
      <c r="S42" s="361">
        <f t="shared" si="11"/>
        <v>350</v>
      </c>
    </row>
    <row r="43" spans="1:19">
      <c r="A43" s="716">
        <f>商业面积!A21</f>
        <v>120</v>
      </c>
      <c r="B43" s="716">
        <f>商业面积!D21</f>
        <v>169.36</v>
      </c>
      <c r="C43" s="24">
        <f t="shared" si="12"/>
        <v>0.96</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27372</v>
      </c>
      <c r="S43" s="361">
        <f t="shared" si="11"/>
        <v>464</v>
      </c>
    </row>
    <row r="44" spans="1:19">
      <c r="A44" s="716">
        <f>商业面积!A22</f>
        <v>121</v>
      </c>
      <c r="B44" s="716">
        <f>商业面积!D22</f>
        <v>76.06</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217</v>
      </c>
    </row>
    <row r="45" spans="1:19">
      <c r="A45" s="716">
        <f>商业面积!A23</f>
        <v>122</v>
      </c>
      <c r="B45" s="716">
        <f>商业面积!D23</f>
        <v>80.790000000000006</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28512</v>
      </c>
      <c r="S45" s="361">
        <f t="shared" si="11"/>
        <v>230</v>
      </c>
    </row>
    <row r="46" spans="1:19">
      <c r="A46" s="716">
        <f>商业面积!A24</f>
        <v>123</v>
      </c>
      <c r="B46" s="716">
        <f>商业面积!D24</f>
        <v>70.77</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28512</v>
      </c>
      <c r="S46" s="361">
        <f t="shared" si="11"/>
        <v>202</v>
      </c>
    </row>
    <row r="47" spans="1:19">
      <c r="A47" s="716">
        <f>商业面积!A25</f>
        <v>124</v>
      </c>
      <c r="B47" s="716">
        <f>商业面积!D25</f>
        <v>89.03</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28512</v>
      </c>
      <c r="S47" s="361">
        <f t="shared" si="11"/>
        <v>254</v>
      </c>
    </row>
    <row r="48" spans="1:19">
      <c r="A48" s="716">
        <f>商业面积!A26</f>
        <v>125</v>
      </c>
      <c r="B48" s="716">
        <f>商业面积!D26</f>
        <v>197.3</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540</v>
      </c>
    </row>
    <row r="49" spans="1:19">
      <c r="A49" s="716">
        <f>商业面积!A27</f>
        <v>126</v>
      </c>
      <c r="B49" s="716">
        <f>商业面积!D27</f>
        <v>142.59</v>
      </c>
      <c r="C49" s="24">
        <f t="shared" si="12"/>
        <v>0.98</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27942</v>
      </c>
      <c r="S49" s="361">
        <f t="shared" si="11"/>
        <v>398</v>
      </c>
    </row>
    <row r="50" spans="1:19">
      <c r="A50" s="716">
        <f>商业面积!A28</f>
        <v>127</v>
      </c>
      <c r="B50" s="716">
        <f>商业面积!D28</f>
        <v>50.36</v>
      </c>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28512</v>
      </c>
      <c r="S50" s="361">
        <f t="shared" si="11"/>
        <v>144</v>
      </c>
    </row>
    <row r="51" spans="1:19">
      <c r="A51" s="716">
        <f>商业面积!A29</f>
        <v>128</v>
      </c>
      <c r="B51" s="716">
        <f>商业面积!D29</f>
        <v>93.45</v>
      </c>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28512</v>
      </c>
      <c r="S51" s="361">
        <f t="shared" si="11"/>
        <v>266</v>
      </c>
    </row>
    <row r="52" spans="1:19">
      <c r="A52" s="716">
        <f>商业面积!A30</f>
        <v>129</v>
      </c>
      <c r="B52" s="716">
        <f>商业面积!D30</f>
        <v>141.13999999999999</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394</v>
      </c>
    </row>
    <row r="53" spans="1:19">
      <c r="A53" s="716">
        <f>商业面积!A31</f>
        <v>130</v>
      </c>
      <c r="B53" s="716">
        <f>商业面积!D31</f>
        <v>196.98</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539</v>
      </c>
    </row>
    <row r="54" spans="1:19">
      <c r="A54" s="716">
        <f>商业面积!A32</f>
        <v>131</v>
      </c>
      <c r="B54" s="716">
        <f>商业面积!D32</f>
        <v>280.64</v>
      </c>
      <c r="C54" s="24">
        <f t="shared" si="12"/>
        <v>0.94</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26801</v>
      </c>
      <c r="S54" s="361">
        <f t="shared" si="11"/>
        <v>752</v>
      </c>
    </row>
    <row r="55" spans="1:19">
      <c r="A55" s="716">
        <f>商业面积!A33</f>
        <v>133</v>
      </c>
      <c r="B55" s="716">
        <f>商业面积!D33</f>
        <v>150.03</v>
      </c>
      <c r="C55" s="24">
        <f t="shared" si="12"/>
        <v>0.96</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27372</v>
      </c>
      <c r="S55" s="361">
        <f t="shared" ref="S55:S77" si="21">ROUND(R55*B55/10000,0)</f>
        <v>411</v>
      </c>
    </row>
    <row r="56" spans="1:19">
      <c r="A56" s="716">
        <f>商业面积!A34</f>
        <v>134</v>
      </c>
      <c r="B56" s="716">
        <f>商业面积!D34</f>
        <v>45.49</v>
      </c>
      <c r="C56" s="24">
        <f t="shared" si="12"/>
        <v>1.02</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29082</v>
      </c>
      <c r="S56" s="361">
        <f t="shared" si="21"/>
        <v>132</v>
      </c>
    </row>
    <row r="57" spans="1:19">
      <c r="A57" s="716">
        <f>商业面积!A35</f>
        <v>135</v>
      </c>
      <c r="B57" s="716">
        <f>商业面积!D35</f>
        <v>214.99</v>
      </c>
      <c r="C57" s="24">
        <f t="shared" si="12"/>
        <v>0.94</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26801</v>
      </c>
      <c r="S57" s="361">
        <f t="shared" si="21"/>
        <v>576</v>
      </c>
    </row>
    <row r="58" spans="1:19">
      <c r="A58" s="716">
        <f>商业面积!A36</f>
        <v>136</v>
      </c>
      <c r="B58" s="716">
        <f>商业面积!D36</f>
        <v>284.02</v>
      </c>
      <c r="C58" s="24">
        <f t="shared" si="12"/>
        <v>0.94</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26801</v>
      </c>
      <c r="S58" s="361">
        <f t="shared" si="21"/>
        <v>761</v>
      </c>
    </row>
    <row r="59" spans="1:19">
      <c r="A59" s="716">
        <f>商业面积!A37</f>
        <v>137</v>
      </c>
      <c r="B59" s="716">
        <f>商业面积!D37</f>
        <v>232.59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623</v>
      </c>
    </row>
    <row r="60" spans="1:19">
      <c r="A60" s="716">
        <f>商业面积!A38</f>
        <v>138</v>
      </c>
      <c r="B60" s="716">
        <f>商业面积!D38</f>
        <v>122.53</v>
      </c>
      <c r="C60" s="24">
        <f t="shared" si="12"/>
        <v>0.98</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27942</v>
      </c>
      <c r="S60" s="361">
        <f t="shared" si="21"/>
        <v>342</v>
      </c>
    </row>
    <row r="61" spans="1:19">
      <c r="A61" s="716">
        <f>商业面积!A39</f>
        <v>139</v>
      </c>
      <c r="B61" s="716">
        <f>商业面积!D39</f>
        <v>50.37</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28512</v>
      </c>
      <c r="S61" s="361">
        <f t="shared" si="21"/>
        <v>144</v>
      </c>
    </row>
    <row r="62" spans="1:19">
      <c r="A62" s="716">
        <f>商业面积!A40</f>
        <v>140</v>
      </c>
      <c r="B62" s="716">
        <f>商业面积!D40</f>
        <v>126.94</v>
      </c>
      <c r="C62" s="24">
        <f t="shared" si="12"/>
        <v>0.98</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27942</v>
      </c>
      <c r="S62" s="361">
        <f t="shared" si="21"/>
        <v>355</v>
      </c>
    </row>
    <row r="63" spans="1:19">
      <c r="A63" s="716">
        <f>商业面积!A41</f>
        <v>141</v>
      </c>
      <c r="B63" s="716">
        <f>商业面积!D41</f>
        <v>182.17</v>
      </c>
      <c r="C63" s="24">
        <f t="shared" si="12"/>
        <v>0.96</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27372</v>
      </c>
      <c r="S63" s="361">
        <f t="shared" si="21"/>
        <v>499</v>
      </c>
    </row>
    <row r="64" spans="1:19">
      <c r="A64" s="716">
        <f>商业面积!A42</f>
        <v>201</v>
      </c>
      <c r="B64" s="716">
        <f>商业面积!D42</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f>商业面积!A43</f>
        <v>202</v>
      </c>
      <c r="B65" s="716">
        <f>商业面积!D43</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f>商业面积!A44</f>
        <v>203</v>
      </c>
      <c r="B66" s="716">
        <f>商业面积!D44</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f>商业面积!A45</f>
        <v>204</v>
      </c>
      <c r="B67" s="716">
        <f>商业面积!D45</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f>商业面积!A46</f>
        <v>205</v>
      </c>
      <c r="B68" s="716">
        <f>商业面积!D46</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f>商业面积!A47</f>
        <v>206</v>
      </c>
      <c r="B69" s="716">
        <f>商业面积!D47</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f>商业面积!A48</f>
        <v>207</v>
      </c>
      <c r="B70" s="716">
        <f>商业面积!D48</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f>商业面积!A49</f>
        <v>208</v>
      </c>
      <c r="B71" s="716">
        <f>商业面积!D49</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f>商业面积!A50</f>
        <v>209</v>
      </c>
      <c r="B72" s="716">
        <f>商业面积!D50</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f>商业面积!A51</f>
        <v>210</v>
      </c>
      <c r="B73" s="716">
        <f>商业面积!D51</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f>商业面积!A52</f>
        <v>211</v>
      </c>
      <c r="B74" s="716">
        <f>商业面积!D52</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f>商业面积!A53</f>
        <v>212</v>
      </c>
      <c r="B75" s="716">
        <f>商业面积!D53</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f>商业面积!A54</f>
        <v>213</v>
      </c>
      <c r="B76" s="716">
        <f>商业面积!D54</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f>商业面积!A55</f>
        <v>214</v>
      </c>
      <c r="B77" s="716">
        <f>商业面积!D55</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f>商业面积!A56</f>
        <v>215</v>
      </c>
      <c r="B78" s="716">
        <f>商业面积!D56</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f>商业面积!A57</f>
        <v>216</v>
      </c>
      <c r="B79" s="716">
        <f>商业面积!D57</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f>商业面积!A58</f>
        <v>217</v>
      </c>
      <c r="B80" s="716">
        <f>商业面积!D58</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f>商业面积!A59</f>
        <v>219</v>
      </c>
      <c r="B81" s="716">
        <f>商业面积!D59</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f>商业面积!A60</f>
        <v>221</v>
      </c>
      <c r="B82" s="716">
        <f>商业面积!D60</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f>商业面积!A61</f>
        <v>224</v>
      </c>
      <c r="B83" s="716">
        <f>商业面积!D61</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f>商业面积!A62</f>
        <v>225</v>
      </c>
      <c r="B84" s="716">
        <f>商业面积!D62</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f>商业面积!A63</f>
        <v>226</v>
      </c>
      <c r="B85" s="716">
        <f>商业面积!D63</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f>商业面积!A64</f>
        <v>301</v>
      </c>
      <c r="B86" s="716">
        <f>商业面积!D64</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f>商业面积!A65</f>
        <v>302</v>
      </c>
      <c r="B87" s="716">
        <f>商业面积!D65</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f>商业面积!A66</f>
        <v>303</v>
      </c>
      <c r="B88" s="716">
        <f>商业面积!D66</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f>商业面积!A67</f>
        <v>304</v>
      </c>
      <c r="B89" s="716">
        <f>商业面积!D67</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f>商业面积!A68</f>
        <v>305</v>
      </c>
      <c r="B90" s="716">
        <f>商业面积!D68</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f>商业面积!A69</f>
        <v>306</v>
      </c>
      <c r="B91" s="716">
        <f>商业面积!D69</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f>商业面积!A70</f>
        <v>307</v>
      </c>
      <c r="B92" s="716">
        <f>商业面积!D70</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f>商业面积!A71</f>
        <v>308</v>
      </c>
      <c r="B93" s="716">
        <f>商业面积!D71</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f>商业面积!A72</f>
        <v>309</v>
      </c>
      <c r="B94" s="716">
        <f>商业面积!D72</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f>商业面积!A73</f>
        <v>310</v>
      </c>
      <c r="B95" s="716">
        <f>商业面积!D73</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f>商业面积!A74</f>
        <v>311</v>
      </c>
      <c r="B96" s="716">
        <f>商业面积!D74</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f>商业面积!A75</f>
        <v>312</v>
      </c>
      <c r="B97" s="716">
        <f>商业面积!D75</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f>商业面积!A76</f>
        <v>313</v>
      </c>
      <c r="B98" s="716">
        <f>商业面积!D76</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f>商业面积!A77</f>
        <v>314</v>
      </c>
      <c r="B99" s="716">
        <f>商业面积!D77</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f>商业面积!A78</f>
        <v>315</v>
      </c>
      <c r="B100" s="716">
        <f>商业面积!D78</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f>商业面积!A79</f>
        <v>316</v>
      </c>
      <c r="B101" s="716">
        <f>商业面积!D79</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f>商业面积!A80</f>
        <v>317</v>
      </c>
      <c r="B102" s="716">
        <f>商业面积!D80</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28" sqref="A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34.67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41882</v>
      </c>
      <c r="C2" s="1843" t="s">
        <v>1512</v>
      </c>
      <c r="D2" s="1843"/>
      <c r="E2" s="1844"/>
      <c r="F2" s="1845"/>
      <c r="G2" s="1846"/>
      <c r="H2" s="1838"/>
      <c r="I2" s="1838"/>
      <c r="J2" s="1838"/>
      <c r="K2" s="1839"/>
      <c r="L2" s="1838"/>
      <c r="M2" s="1838"/>
    </row>
    <row r="3" spans="1:37" ht="18" customHeight="1" thickBot="1">
      <c r="A3" s="1847" t="s">
        <v>1513</v>
      </c>
      <c r="B3" s="1848">
        <f ca="1">IF(ISERROR(B2*10000/F43),0,ROUND(B2*10000/F43,0))</f>
        <v>22465</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2450</v>
      </c>
      <c r="D6" s="164" t="s">
        <v>3030</v>
      </c>
      <c r="E6" s="347" t="s">
        <v>1401</v>
      </c>
      <c r="F6" s="348">
        <f ca="1">INDIRECT("'数据-取费表'!u"&amp;$G$1)</f>
        <v>4</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2951" t="s">
        <v>1402</v>
      </c>
      <c r="F7" s="348">
        <f ca="1">IF(INDIRECT("'数据-取费表'!ah"&amp;$G$1)="",INDIRECT("'数据-取费表'!k"&amp;$G$1),INDIRECT("'数据-取费表'!ah"&amp;$G$1))</f>
        <v>18643.309999999998</v>
      </c>
      <c r="G7" s="1849"/>
      <c r="H7" s="349"/>
      <c r="I7" s="3275"/>
      <c r="J7" s="351"/>
      <c r="K7" s="352"/>
      <c r="L7" s="347" t="s">
        <v>1402</v>
      </c>
      <c r="M7" s="348">
        <f ca="1">F7</f>
        <v>18643.309999999998</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8039</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607</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12.1</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41689</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34.67</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22361</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-54115</v>
      </c>
      <c r="D46" s="1870" t="str">
        <f>C2</f>
        <v>万元</v>
      </c>
      <c r="E46" s="1864"/>
      <c r="F46" s="1864"/>
      <c r="I46" s="1871" t="s">
        <v>1517</v>
      </c>
      <c r="J46" s="1872"/>
      <c r="K46" s="1873"/>
      <c r="L46" s="1874">
        <f ca="1">IF(M47="住宅",0,IF(L48&gt;J51,L60,J60))</f>
        <v>193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41689</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34.67</v>
      </c>
      <c r="O48" s="1882" t="s">
        <v>1038</v>
      </c>
      <c r="P48" s="1883" t="s">
        <v>1528</v>
      </c>
      <c r="Q48" s="1884">
        <f ca="1">J60</f>
        <v>193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0.40600000000000003</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19625</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34.67</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34.67</v>
      </c>
      <c r="K53" s="3277" t="s">
        <v>1544</v>
      </c>
      <c r="L53" s="3278"/>
      <c r="O53" s="1882" t="s">
        <v>1043</v>
      </c>
      <c r="P53" s="1883" t="s">
        <v>1545</v>
      </c>
      <c r="Q53" s="1884">
        <f ca="1">Q47+Q48</f>
        <v>41882</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0.40600000000000003</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8039</v>
      </c>
      <c r="D56" s="1912"/>
      <c r="E56" s="1913"/>
      <c r="F56" s="1905"/>
      <c r="I56" s="1914" t="s">
        <v>1550</v>
      </c>
      <c r="J56" s="1915" t="s">
        <v>3076</v>
      </c>
      <c r="K56" s="1885" t="s">
        <v>1551</v>
      </c>
      <c r="L56" s="1888" t="str">
        <f ca="1">IF(L48&lt;J51,"——",L48-J53)</f>
        <v>——</v>
      </c>
      <c r="O56" s="1882" t="s">
        <v>1037</v>
      </c>
      <c r="P56" s="1883" t="s">
        <v>1524</v>
      </c>
      <c r="Q56" s="1884">
        <f ca="1">C40+J29</f>
        <v>41689</v>
      </c>
      <c r="R56" s="1884" t="s">
        <v>1525</v>
      </c>
    </row>
    <row r="57" spans="1:18" s="1840" customFormat="1" ht="24.75" thickBot="1">
      <c r="A57" s="1916"/>
      <c r="B57" s="1170" t="s">
        <v>1474</v>
      </c>
      <c r="C57" s="282">
        <f ca="1">C29</f>
        <v>8039</v>
      </c>
      <c r="D57" s="1917"/>
      <c r="E57" s="1918"/>
      <c r="F57" s="1919"/>
      <c r="I57" s="1920" t="s">
        <v>1552</v>
      </c>
      <c r="J57" s="1921">
        <f ca="1">IF(OR(M47="住宅",J51&lt;L48,J56="是"),"——",J51-L48)</f>
        <v>24.33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0.40600000000000003</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3264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193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41689</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12.1</v>
      </c>
      <c r="D65" s="1184" t="s">
        <v>1450</v>
      </c>
      <c r="E65" s="1170" t="s">
        <v>1451</v>
      </c>
      <c r="F65" s="376">
        <f t="shared" ca="1" si="0"/>
        <v>1.5E-3</v>
      </c>
      <c r="I65" s="1927" t="s">
        <v>1575</v>
      </c>
      <c r="J65" s="1928">
        <v>40</v>
      </c>
      <c r="K65" s="1928">
        <v>30</v>
      </c>
      <c r="L65" s="1928">
        <v>50</v>
      </c>
      <c r="M65" s="1930">
        <v>0.02</v>
      </c>
      <c r="O65" s="1882" t="s">
        <v>1037</v>
      </c>
      <c r="P65" s="1883" t="s">
        <v>1576</v>
      </c>
      <c r="Q65" s="1884">
        <f ca="1">C40+J29</f>
        <v>41689</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19625</v>
      </c>
      <c r="R67" s="1884" t="s">
        <v>1578</v>
      </c>
    </row>
    <row r="68" spans="1:18" s="1840" customFormat="1" ht="16.5" thickBot="1">
      <c r="A68" s="1167" t="s">
        <v>1029</v>
      </c>
      <c r="B68" s="1168" t="s">
        <v>1481</v>
      </c>
      <c r="C68" s="346">
        <f ca="1">ROUND(C67*(1-((1+F70)/(1+F68))^F69)/(F68-F70),0)</f>
        <v>-12426</v>
      </c>
      <c r="D68" s="1185" t="s">
        <v>1465</v>
      </c>
      <c r="E68" s="1170" t="s">
        <v>1466</v>
      </c>
      <c r="F68" s="357">
        <f ca="1">F40</f>
        <v>5.5E-2</v>
      </c>
      <c r="O68" s="1892" t="s">
        <v>1040</v>
      </c>
      <c r="P68" s="1932" t="s">
        <v>1579</v>
      </c>
      <c r="Q68" s="1884">
        <f ca="1">ROUND(Q69-Q70*Q71,0)</f>
        <v>1203</v>
      </c>
      <c r="R68" s="1884" t="s">
        <v>1048</v>
      </c>
    </row>
    <row r="69" spans="1:18" s="1840" customFormat="1" ht="13.5" thickBot="1">
      <c r="A69" s="1171"/>
      <c r="B69" s="1172"/>
      <c r="C69" s="351"/>
      <c r="D69" s="1190" t="s">
        <v>1469</v>
      </c>
      <c r="E69" s="1170" t="s">
        <v>1470</v>
      </c>
      <c r="F69" s="379">
        <f ca="1">F41</f>
        <v>34.67</v>
      </c>
      <c r="O69" s="1892" t="s">
        <v>1045</v>
      </c>
      <c r="P69" s="1932" t="s">
        <v>1580</v>
      </c>
      <c r="Q69" s="1884">
        <f ca="1">C39</f>
        <v>1846</v>
      </c>
      <c r="R69" s="1884" t="s">
        <v>1525</v>
      </c>
    </row>
    <row r="70" spans="1:18" s="1840" customFormat="1" ht="13.5" thickBot="1">
      <c r="A70" s="1174"/>
      <c r="B70" s="1175"/>
      <c r="C70" s="355"/>
      <c r="D70" s="1186"/>
      <c r="E70" s="1170" t="s">
        <v>1473</v>
      </c>
      <c r="F70" s="1276"/>
      <c r="O70" s="1892" t="s">
        <v>1046</v>
      </c>
      <c r="P70" s="1932" t="s">
        <v>1581</v>
      </c>
      <c r="Q70" s="1884">
        <f ca="1">C13</f>
        <v>8039</v>
      </c>
      <c r="R70" s="1884" t="s">
        <v>1525</v>
      </c>
    </row>
    <row r="71" spans="1:18" s="1840" customFormat="1" ht="13.5" thickBot="1">
      <c r="A71" s="1191" t="s">
        <v>1030</v>
      </c>
      <c r="B71" s="1192" t="s">
        <v>1483</v>
      </c>
      <c r="C71" s="382">
        <f ca="1">ROUND(C68*10000/F71,0)</f>
        <v>-6665</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643</v>
      </c>
      <c r="D75" s="1840"/>
      <c r="E75" s="1840"/>
      <c r="F75" s="1840"/>
      <c r="K75" s="1866"/>
      <c r="L75" s="1840"/>
      <c r="O75" s="1882" t="s">
        <v>1043</v>
      </c>
      <c r="P75" s="1883" t="s">
        <v>1545</v>
      </c>
      <c r="Q75" s="1884">
        <f ca="1">Q65+Q66</f>
        <v>41689</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0.65200000000000002</v>
      </c>
    </row>
    <row r="80" spans="1:18">
      <c r="B80" s="386" t="s">
        <v>1507</v>
      </c>
      <c r="C80" s="318">
        <f ca="1">ROUND(C75/C39,3)</f>
        <v>0.34799999999999998</v>
      </c>
    </row>
    <row r="81" spans="2:3">
      <c r="B81" s="314" t="s">
        <v>1508</v>
      </c>
      <c r="C81" s="282"/>
    </row>
    <row r="82" spans="2:3">
      <c r="B82" s="317" t="s">
        <v>1509</v>
      </c>
      <c r="C82" s="319">
        <f ca="1">1-C83</f>
        <v>0.80699999999999994</v>
      </c>
    </row>
    <row r="83" spans="2:3">
      <c r="B83" s="317" t="s">
        <v>1510</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4" t="s">
        <v>1399</v>
      </c>
      <c r="C6" s="1297">
        <f ca="1">ROUND(F6*F8*F7*(1-F9),0)</f>
        <v>0</v>
      </c>
      <c r="D6" s="164" t="s">
        <v>3027</v>
      </c>
      <c r="E6" s="347" t="s">
        <v>1401</v>
      </c>
      <c r="F6" s="348">
        <f ca="1">INDIRECT("'数据-取费表'!u"&amp;$G$1)</f>
        <v>0</v>
      </c>
      <c r="G6" s="1849"/>
      <c r="H6" s="1292" t="s">
        <v>1032</v>
      </c>
      <c r="I6" s="3274" t="s">
        <v>1399</v>
      </c>
      <c r="J6" s="346">
        <f ca="1">ROUND(M6*M8*M7*(1-M9),0)</f>
        <v>0</v>
      </c>
      <c r="K6" s="1832" t="s">
        <v>3028</v>
      </c>
      <c r="L6" s="347" t="s">
        <v>1401</v>
      </c>
      <c r="M6" s="348">
        <f ca="1">INDIRECT("'数据-取费表'!z"&amp;$G$1)</f>
        <v>0</v>
      </c>
    </row>
    <row r="7" spans="1:37" ht="18" customHeight="1">
      <c r="A7" s="1296"/>
      <c r="B7" s="3275"/>
      <c r="C7" s="1298"/>
      <c r="D7" s="352"/>
      <c r="E7" s="1299" t="s">
        <v>1402</v>
      </c>
      <c r="F7" s="348">
        <f ca="1">IF(INDIRECT("'数据-取费表'!ah"&amp;$G$1)="",INDIRECT("'数据-取费表'!k"&amp;$G$1),INDIRECT("'数据-取费表'!ah"&amp;$G$1))</f>
        <v>0</v>
      </c>
      <c r="G7" s="1849"/>
      <c r="H7" s="349"/>
      <c r="I7" s="3275"/>
      <c r="J7" s="351"/>
      <c r="K7" s="352"/>
      <c r="L7" s="347" t="s">
        <v>1402</v>
      </c>
      <c r="M7" s="348">
        <f ca="1">F7</f>
        <v>0</v>
      </c>
    </row>
    <row r="8" spans="1:37" ht="18" customHeight="1">
      <c r="A8" s="349"/>
      <c r="B8" s="3275"/>
      <c r="C8" s="351"/>
      <c r="D8" s="352"/>
      <c r="E8" s="347" t="s">
        <v>1403</v>
      </c>
      <c r="F8" s="348">
        <f ca="1">INDIRECT("'数据-取费表'!ai"&amp;$G$1)</f>
        <v>0</v>
      </c>
      <c r="G8" s="1849"/>
      <c r="H8" s="349"/>
      <c r="I8" s="3275"/>
      <c r="J8" s="351"/>
      <c r="K8" s="352"/>
      <c r="L8" s="347" t="s">
        <v>1403</v>
      </c>
      <c r="M8" s="348">
        <f ca="1">INDIRECT("'数据-取费表'!ai"&amp;$G$1)</f>
        <v>0</v>
      </c>
    </row>
    <row r="9" spans="1:37" ht="18" customHeight="1">
      <c r="A9" s="349"/>
      <c r="B9" s="3276"/>
      <c r="C9" s="351"/>
      <c r="D9" s="352"/>
      <c r="E9" s="347" t="s">
        <v>1404</v>
      </c>
      <c r="F9" s="357">
        <f ca="1">INDIRECT("'数据-取费表'!w"&amp;$G$1)</f>
        <v>0</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77" t="s">
        <v>1544</v>
      </c>
      <c r="L53" s="3278"/>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142516</v>
      </c>
      <c r="C2" s="2567" t="s">
        <v>2520</v>
      </c>
      <c r="D2" s="2568" t="s">
        <v>2521</v>
      </c>
      <c r="E2" s="2569">
        <f>SUM(E6:E13)</f>
        <v>66657.509999999995</v>
      </c>
    </row>
    <row r="3" spans="1:6" ht="15.75">
      <c r="A3" s="2565" t="s">
        <v>1391</v>
      </c>
      <c r="B3" s="2566">
        <f ca="1">ROUND(B2*10000/E2,0)</f>
        <v>21380</v>
      </c>
      <c r="C3" s="2567" t="s">
        <v>2528</v>
      </c>
      <c r="D3" s="2570"/>
      <c r="E3" s="2571"/>
    </row>
    <row r="4" spans="1:6" ht="15.75">
      <c r="A4" s="2572"/>
      <c r="B4" s="2570"/>
      <c r="C4" s="2570"/>
      <c r="D4" s="2570"/>
      <c r="E4" s="2571"/>
    </row>
    <row r="5" spans="1:6" ht="15">
      <c r="A5" s="2573" t="s">
        <v>2522</v>
      </c>
      <c r="B5" s="3279" t="s">
        <v>2523</v>
      </c>
      <c r="C5" s="3279"/>
      <c r="D5" s="2574"/>
      <c r="E5" s="2575" t="s">
        <v>2524</v>
      </c>
      <c r="F5" s="2576" t="s">
        <v>2525</v>
      </c>
    </row>
    <row r="6" spans="1:6">
      <c r="A6" s="2577" t="str">
        <f>'数据-取费表'!AN6</f>
        <v>收益法-商业</v>
      </c>
      <c r="B6" s="2576">
        <f ca="1">IF(F6="是",'数据-取费表'!AO6,0)</f>
        <v>41882</v>
      </c>
      <c r="C6" s="2567" t="s">
        <v>2520</v>
      </c>
      <c r="D6" s="2570"/>
      <c r="E6" s="2578">
        <f>IF(OR(A6=0,F6="否"),0,'数据-取费表'!K6+'数据-取费表'!S6)</f>
        <v>18643.309999999998</v>
      </c>
      <c r="F6" s="2579" t="s">
        <v>2526</v>
      </c>
    </row>
    <row r="7" spans="1:6">
      <c r="A7" s="2577" t="str">
        <f>'数据-取费表'!AN7</f>
        <v>收益法</v>
      </c>
      <c r="B7" s="2576">
        <f ca="1">IF(F7="是",'数据-取费表'!AO7,0)</f>
        <v>66616</v>
      </c>
      <c r="C7" s="2567" t="s">
        <v>2520</v>
      </c>
      <c r="D7" s="2570"/>
      <c r="E7" s="2578">
        <f>IF(OR(A7=0,F7="否"),0,'数据-取费表'!K7+'数据-取费表'!S7)</f>
        <v>31807.97</v>
      </c>
      <c r="F7" s="2579" t="s">
        <v>2526</v>
      </c>
    </row>
    <row r="8" spans="1:6">
      <c r="A8" s="2577" t="str">
        <f>'数据-取费表'!AN8</f>
        <v>收益法-公寓</v>
      </c>
      <c r="B8" s="2576">
        <f ca="1">IF(F8="是",'数据-取费表'!AO8,0)</f>
        <v>34018</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0" t="s">
        <v>1073</v>
      </c>
      <c r="B1" s="3281"/>
      <c r="C1" s="3282"/>
      <c r="D1" s="3283">
        <f>SUM(I10,I15,I20,I21,I23)</f>
        <v>0</v>
      </c>
      <c r="E1" s="3283"/>
      <c r="F1" s="3283"/>
      <c r="G1" s="3283"/>
      <c r="H1" s="3283"/>
      <c r="I1" s="3284"/>
    </row>
    <row r="2" spans="1:9">
      <c r="A2" s="3285" t="s">
        <v>1074</v>
      </c>
      <c r="B2" s="3286" t="s">
        <v>1075</v>
      </c>
      <c r="C2" s="3286"/>
      <c r="D2" s="1302" t="s">
        <v>1076</v>
      </c>
      <c r="E2" s="1302" t="s">
        <v>1077</v>
      </c>
      <c r="F2" s="1302" t="s">
        <v>1078</v>
      </c>
      <c r="G2" s="1302" t="s">
        <v>1079</v>
      </c>
      <c r="H2" s="1302" t="s">
        <v>1080</v>
      </c>
      <c r="I2" s="1303" t="s">
        <v>1081</v>
      </c>
    </row>
    <row r="3" spans="1:9">
      <c r="A3" s="3285"/>
      <c r="B3" s="3286" t="s">
        <v>1082</v>
      </c>
      <c r="C3" s="3286"/>
      <c r="D3" s="1304"/>
      <c r="E3" s="1302"/>
      <c r="F3" s="1305"/>
      <c r="G3" s="1305"/>
      <c r="H3" s="1306"/>
      <c r="I3" s="1307">
        <f>ROUND(D3*E3*F3*G3*H3/10000,0)</f>
        <v>0</v>
      </c>
    </row>
    <row r="4" spans="1:9">
      <c r="A4" s="3285"/>
      <c r="B4" s="3286" t="s">
        <v>1083</v>
      </c>
      <c r="C4" s="3286"/>
      <c r="D4" s="1304"/>
      <c r="E4" s="1302"/>
      <c r="F4" s="1305"/>
      <c r="G4" s="1305"/>
      <c r="H4" s="1306"/>
      <c r="I4" s="1307">
        <f t="shared" ref="I4:I9" si="0">ROUND(D4*E4*F4*G4*H4/10000,0)</f>
        <v>0</v>
      </c>
    </row>
    <row r="5" spans="1:9">
      <c r="A5" s="3285"/>
      <c r="B5" s="3286" t="s">
        <v>1084</v>
      </c>
      <c r="C5" s="3286"/>
      <c r="D5" s="1304"/>
      <c r="E5" s="1302"/>
      <c r="F5" s="1305"/>
      <c r="G5" s="1305"/>
      <c r="H5" s="1306"/>
      <c r="I5" s="1307">
        <f t="shared" si="0"/>
        <v>0</v>
      </c>
    </row>
    <row r="6" spans="1:9">
      <c r="A6" s="3285"/>
      <c r="B6" s="3286" t="s">
        <v>1085</v>
      </c>
      <c r="C6" s="3286"/>
      <c r="D6" s="1304"/>
      <c r="E6" s="1302"/>
      <c r="F6" s="1305"/>
      <c r="G6" s="1305"/>
      <c r="H6" s="1306"/>
      <c r="I6" s="1307">
        <f t="shared" si="0"/>
        <v>0</v>
      </c>
    </row>
    <row r="7" spans="1:9">
      <c r="A7" s="3285"/>
      <c r="B7" s="3286" t="s">
        <v>1086</v>
      </c>
      <c r="C7" s="3286"/>
      <c r="D7" s="1304"/>
      <c r="E7" s="1302"/>
      <c r="F7" s="1305"/>
      <c r="G7" s="1305"/>
      <c r="H7" s="1306"/>
      <c r="I7" s="1307">
        <f t="shared" si="0"/>
        <v>0</v>
      </c>
    </row>
    <row r="8" spans="1:9">
      <c r="A8" s="3285"/>
      <c r="B8" s="3286" t="s">
        <v>1087</v>
      </c>
      <c r="C8" s="3286"/>
      <c r="D8" s="1304"/>
      <c r="E8" s="1302"/>
      <c r="F8" s="1305"/>
      <c r="G8" s="1305"/>
      <c r="H8" s="1306"/>
      <c r="I8" s="1307">
        <f t="shared" si="0"/>
        <v>0</v>
      </c>
    </row>
    <row r="9" spans="1:9">
      <c r="A9" s="3285"/>
      <c r="B9" s="3286" t="s">
        <v>1088</v>
      </c>
      <c r="C9" s="3286"/>
      <c r="D9" s="1304"/>
      <c r="E9" s="1302"/>
      <c r="F9" s="1305"/>
      <c r="G9" s="1305"/>
      <c r="H9" s="1306"/>
      <c r="I9" s="1307">
        <f t="shared" si="0"/>
        <v>0</v>
      </c>
    </row>
    <row r="10" spans="1:9">
      <c r="A10" s="3285"/>
      <c r="B10" s="3287" t="s">
        <v>1089</v>
      </c>
      <c r="C10" s="3287"/>
      <c r="D10" s="1308"/>
      <c r="E10" s="1308" t="e">
        <f>ROUND(D1*10000/D10/H9,0)</f>
        <v>#DIV/0!</v>
      </c>
      <c r="F10" s="1309"/>
      <c r="G10" s="1309"/>
      <c r="H10" s="1310"/>
      <c r="I10" s="1311">
        <f>SUM(I3:I9)</f>
        <v>0</v>
      </c>
    </row>
    <row r="11" spans="1:9" ht="14.25">
      <c r="A11" s="3285" t="s">
        <v>1090</v>
      </c>
      <c r="B11" s="3286" t="s">
        <v>1091</v>
      </c>
      <c r="C11" s="3286"/>
      <c r="D11" s="1304" t="s">
        <v>1092</v>
      </c>
      <c r="E11" s="1304" t="s">
        <v>1093</v>
      </c>
      <c r="F11" s="1305" t="s">
        <v>1094</v>
      </c>
      <c r="G11" s="1305" t="s">
        <v>1080</v>
      </c>
      <c r="H11" s="1312" t="s">
        <v>1095</v>
      </c>
      <c r="I11" s="1303" t="s">
        <v>1081</v>
      </c>
    </row>
    <row r="12" spans="1:9">
      <c r="A12" s="3285"/>
      <c r="B12" s="3286" t="s">
        <v>1096</v>
      </c>
      <c r="C12" s="3286"/>
      <c r="D12" s="1304"/>
      <c r="E12" s="1304"/>
      <c r="F12" s="1305"/>
      <c r="G12" s="1306"/>
      <c r="H12" s="1313"/>
      <c r="I12" s="1303">
        <f>ROUND(D12*E12*F12*G12/10000,0)</f>
        <v>0</v>
      </c>
    </row>
    <row r="13" spans="1:9">
      <c r="A13" s="3285"/>
      <c r="B13" s="3286" t="s">
        <v>1097</v>
      </c>
      <c r="C13" s="3286"/>
      <c r="D13" s="1304"/>
      <c r="E13" s="1304"/>
      <c r="F13" s="1305"/>
      <c r="G13" s="1306"/>
      <c r="H13" s="1313"/>
      <c r="I13" s="1303">
        <f>ROUND(D13*E13*F13*G13/10000,0)</f>
        <v>0</v>
      </c>
    </row>
    <row r="14" spans="1:9">
      <c r="A14" s="3285"/>
      <c r="B14" s="3286" t="s">
        <v>1098</v>
      </c>
      <c r="C14" s="3286"/>
      <c r="D14" s="1304"/>
      <c r="E14" s="1304"/>
      <c r="F14" s="1305"/>
      <c r="G14" s="1306"/>
      <c r="H14" s="1313"/>
      <c r="I14" s="1303">
        <f>ROUND(D14*E14*F14*G14/10000,0)</f>
        <v>0</v>
      </c>
    </row>
    <row r="15" spans="1:9">
      <c r="A15" s="3285"/>
      <c r="B15" s="3287" t="s">
        <v>1089</v>
      </c>
      <c r="C15" s="3287"/>
      <c r="D15" s="1308"/>
      <c r="E15" s="1308">
        <f>SUM(E12:E14)</f>
        <v>0</v>
      </c>
      <c r="F15" s="1309"/>
      <c r="G15" s="1306"/>
      <c r="H15" s="1313"/>
      <c r="I15" s="1314">
        <f>SUM(I12:I14)</f>
        <v>0</v>
      </c>
    </row>
    <row r="16" spans="1:9" ht="24">
      <c r="A16" s="3285" t="s">
        <v>1099</v>
      </c>
      <c r="B16" s="3286" t="s">
        <v>1100</v>
      </c>
      <c r="C16" s="3286"/>
      <c r="D16" s="1304" t="s">
        <v>1076</v>
      </c>
      <c r="E16" s="1315" t="s">
        <v>1101</v>
      </c>
      <c r="F16" s="1305" t="s">
        <v>1102</v>
      </c>
      <c r="G16" s="1306" t="s">
        <v>1080</v>
      </c>
      <c r="H16" s="1312" t="s">
        <v>1095</v>
      </c>
      <c r="I16" s="1303" t="s">
        <v>1081</v>
      </c>
    </row>
    <row r="17" spans="1:9" ht="14.25">
      <c r="A17" s="3285"/>
      <c r="B17" s="3286" t="s">
        <v>1103</v>
      </c>
      <c r="C17" s="3286"/>
      <c r="D17" s="1304"/>
      <c r="E17" s="1304"/>
      <c r="F17" s="1305"/>
      <c r="G17" s="1306"/>
      <c r="H17" s="1316"/>
      <c r="I17" s="1317">
        <f>ROUND(D17*E17*F17*G17/10000,0)</f>
        <v>0</v>
      </c>
    </row>
    <row r="18" spans="1:9" ht="14.25">
      <c r="A18" s="3285"/>
      <c r="B18" s="3286" t="s">
        <v>1104</v>
      </c>
      <c r="C18" s="3286"/>
      <c r="D18" s="1304"/>
      <c r="E18" s="1304"/>
      <c r="F18" s="1305"/>
      <c r="G18" s="1306"/>
      <c r="H18" s="1316"/>
      <c r="I18" s="1317">
        <f>ROUND(D18*E18*F18*G18/10000,0)</f>
        <v>0</v>
      </c>
    </row>
    <row r="19" spans="1:9" ht="14.25">
      <c r="A19" s="3285"/>
      <c r="B19" s="3286" t="s">
        <v>1105</v>
      </c>
      <c r="C19" s="3286"/>
      <c r="D19" s="1304"/>
      <c r="E19" s="1304"/>
      <c r="F19" s="1305"/>
      <c r="G19" s="1306"/>
      <c r="H19" s="1316"/>
      <c r="I19" s="1317">
        <f>ROUND(D19*E19*F19*G19/10000,0)</f>
        <v>0</v>
      </c>
    </row>
    <row r="20" spans="1:9">
      <c r="A20" s="3285"/>
      <c r="B20" s="3287" t="s">
        <v>1089</v>
      </c>
      <c r="C20" s="3287"/>
      <c r="D20" s="1308">
        <f>SUM(D17:D19)</f>
        <v>0</v>
      </c>
      <c r="E20" s="1308"/>
      <c r="F20" s="1309"/>
      <c r="G20" s="1306"/>
      <c r="H20" s="1313"/>
      <c r="I20" s="1314">
        <f>SUM(I17:I19)</f>
        <v>0</v>
      </c>
    </row>
    <row r="21" spans="1:9">
      <c r="A21" s="3285" t="s">
        <v>1106</v>
      </c>
      <c r="B21" s="3289"/>
      <c r="C21" s="3289"/>
      <c r="D21" s="3289"/>
      <c r="E21" s="3289"/>
      <c r="F21" s="3289"/>
      <c r="G21" s="3289"/>
      <c r="H21" s="1763">
        <v>0.1</v>
      </c>
      <c r="I21" s="1311">
        <f>ROUND(I10*H21,0)</f>
        <v>0</v>
      </c>
    </row>
    <row r="22" spans="1:9" ht="14.25">
      <c r="A22" s="3290" t="s">
        <v>1107</v>
      </c>
      <c r="B22" s="3291"/>
      <c r="C22" s="3292"/>
      <c r="D22" s="1318" t="s">
        <v>1108</v>
      </c>
      <c r="E22" s="1318" t="s">
        <v>1109</v>
      </c>
      <c r="F22" s="1319" t="s">
        <v>1110</v>
      </c>
      <c r="G22" s="1319" t="s">
        <v>1111</v>
      </c>
      <c r="H22" s="1312" t="s">
        <v>1112</v>
      </c>
      <c r="I22" s="1303" t="s">
        <v>1113</v>
      </c>
    </row>
    <row r="23" spans="1:9" ht="14.25" thickBot="1">
      <c r="A23" s="3293"/>
      <c r="B23" s="3294"/>
      <c r="C23" s="3295"/>
      <c r="D23" s="1320"/>
      <c r="E23" s="1320"/>
      <c r="F23" s="1320"/>
      <c r="G23" s="1321"/>
      <c r="H23" s="1322"/>
      <c r="I23" s="1323">
        <f>ROUND(E23*D23*F23*(1-G23)/10000,0)</f>
        <v>0</v>
      </c>
    </row>
    <row r="26" spans="1:9">
      <c r="A26" s="1324" t="s">
        <v>1114</v>
      </c>
      <c r="B26" s="1324"/>
      <c r="C26" s="1324"/>
      <c r="D26" s="1324"/>
      <c r="E26" s="3296">
        <f>C27-C30-C31-C32</f>
        <v>0</v>
      </c>
      <c r="F26" s="3296"/>
      <c r="G26" s="3296"/>
      <c r="H26" s="1735" t="s">
        <v>1336</v>
      </c>
    </row>
    <row r="27" spans="1:9">
      <c r="A27" s="1325">
        <v>1</v>
      </c>
      <c r="B27" s="1326" t="s">
        <v>1115</v>
      </c>
      <c r="C27" s="1326">
        <f>C28+C29</f>
        <v>0</v>
      </c>
      <c r="D27" s="1326"/>
      <c r="E27" s="3297"/>
      <c r="F27" s="3297"/>
      <c r="G27" s="3297"/>
    </row>
    <row r="28" spans="1:9">
      <c r="A28" s="1327" t="s">
        <v>1116</v>
      </c>
      <c r="B28" s="1326" t="s">
        <v>1117</v>
      </c>
      <c r="C28" s="1326"/>
      <c r="D28" s="1326"/>
      <c r="E28" s="3297"/>
      <c r="F28" s="3297"/>
      <c r="G28" s="3297"/>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88"/>
      <c r="F32" s="3288"/>
      <c r="G32" s="3288"/>
    </row>
    <row r="33" spans="1:7" hidden="1">
      <c r="A33" s="3298" t="s">
        <v>1126</v>
      </c>
      <c r="B33" s="3299"/>
      <c r="C33" s="3299"/>
      <c r="D33" s="3300"/>
      <c r="E33" s="3296"/>
      <c r="F33" s="3296"/>
      <c r="G33" s="3296"/>
    </row>
    <row r="34" spans="1:7" hidden="1">
      <c r="A34" s="1329">
        <v>1</v>
      </c>
      <c r="B34" s="1326" t="s">
        <v>1127</v>
      </c>
      <c r="C34" s="1326"/>
      <c r="D34" s="1326"/>
      <c r="E34" s="3297"/>
      <c r="F34" s="3297"/>
      <c r="G34" s="3297"/>
    </row>
    <row r="35" spans="1:7" hidden="1">
      <c r="A35" s="1329">
        <v>2</v>
      </c>
      <c r="B35" s="1326" t="s">
        <v>1128</v>
      </c>
      <c r="C35" s="1326"/>
      <c r="D35" s="1326"/>
      <c r="E35" s="3297"/>
      <c r="F35" s="3297"/>
      <c r="G35" s="3297"/>
    </row>
    <row r="36" spans="1:7" hidden="1">
      <c r="A36" s="1329">
        <v>3</v>
      </c>
      <c r="B36" s="1326" t="s">
        <v>1129</v>
      </c>
      <c r="C36" s="1326"/>
      <c r="D36" s="1326"/>
      <c r="E36" s="3297"/>
      <c r="F36" s="3297"/>
      <c r="G36" s="3297"/>
    </row>
    <row r="37" spans="1:7" hidden="1">
      <c r="A37" s="1329">
        <v>4</v>
      </c>
      <c r="B37" s="1326" t="s">
        <v>1130</v>
      </c>
      <c r="C37" s="1326"/>
      <c r="D37" s="1326"/>
      <c r="E37" s="3297"/>
      <c r="F37" s="3297"/>
      <c r="G37" s="3297"/>
    </row>
    <row r="38" spans="1:7" hidden="1">
      <c r="A38" s="3298" t="s">
        <v>1131</v>
      </c>
      <c r="B38" s="3299"/>
      <c r="C38" s="3299"/>
      <c r="D38" s="3300"/>
      <c r="E38" s="3296"/>
      <c r="F38" s="3296"/>
      <c r="G38" s="32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3" t="s">
        <v>2537</v>
      </c>
      <c r="D4" s="3244"/>
      <c r="E4" s="3245" t="s">
        <v>2538</v>
      </c>
      <c r="F4" s="3246"/>
      <c r="G4" s="3243" t="s">
        <v>2539</v>
      </c>
      <c r="H4" s="3244"/>
      <c r="I4" s="3243" t="s">
        <v>2540</v>
      </c>
      <c r="J4" s="3244"/>
      <c r="K4" s="2597" t="s">
        <v>2541</v>
      </c>
      <c r="L4" s="1131"/>
      <c r="M4" s="1132"/>
      <c r="N4" s="1132"/>
      <c r="O4" s="1132"/>
      <c r="P4" s="3247" t="s">
        <v>2542</v>
      </c>
      <c r="Q4" s="3248"/>
      <c r="R4" s="3230" t="s">
        <v>2538</v>
      </c>
      <c r="S4" s="3231"/>
      <c r="T4" s="3230" t="s">
        <v>2539</v>
      </c>
      <c r="U4" s="3231"/>
      <c r="V4" s="3227" t="s">
        <v>2540</v>
      </c>
      <c r="W4" s="3227"/>
      <c r="X4" s="1811"/>
      <c r="Y4" s="3230" t="s">
        <v>2542</v>
      </c>
      <c r="Z4" s="3231"/>
      <c r="AA4" s="3224" t="s">
        <v>2538</v>
      </c>
      <c r="AB4" s="3224" t="s">
        <v>2539</v>
      </c>
      <c r="AC4" s="3224" t="s">
        <v>2540</v>
      </c>
    </row>
    <row r="5" spans="1:29" ht="15">
      <c r="A5" s="404"/>
      <c r="B5" s="405"/>
      <c r="C5" s="3236" t="s">
        <v>2543</v>
      </c>
      <c r="D5" s="3237"/>
      <c r="E5" s="3234" t="s">
        <v>2544</v>
      </c>
      <c r="F5" s="3235"/>
      <c r="G5" s="3236" t="s">
        <v>2545</v>
      </c>
      <c r="H5" s="3237"/>
      <c r="I5" s="3236" t="s">
        <v>2546</v>
      </c>
      <c r="J5" s="3237"/>
      <c r="K5" s="2598"/>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2598"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28" t="s">
        <v>2550</v>
      </c>
      <c r="Q7" s="3255"/>
      <c r="R7" s="768" t="s">
        <v>23</v>
      </c>
      <c r="S7" s="769">
        <f t="shared" ref="S7:S15" si="0">F7</f>
        <v>0</v>
      </c>
      <c r="T7" s="768" t="s">
        <v>23</v>
      </c>
      <c r="U7" s="769">
        <f t="shared" ref="U7:U15" si="1">H7</f>
        <v>0</v>
      </c>
      <c r="V7" s="768" t="s">
        <v>23</v>
      </c>
      <c r="W7" s="769">
        <f t="shared" ref="W7:W15" si="2">J7</f>
        <v>0</v>
      </c>
      <c r="X7" s="770"/>
      <c r="Y7" s="3228" t="s">
        <v>2550</v>
      </c>
      <c r="Z7" s="3229"/>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28" t="s">
        <v>2553</v>
      </c>
      <c r="Q8" s="3229"/>
      <c r="R8" s="768" t="s">
        <v>23</v>
      </c>
      <c r="S8" s="769">
        <f t="shared" si="0"/>
        <v>0</v>
      </c>
      <c r="T8" s="768" t="s">
        <v>23</v>
      </c>
      <c r="U8" s="769">
        <f t="shared" si="1"/>
        <v>0</v>
      </c>
      <c r="V8" s="768" t="s">
        <v>23</v>
      </c>
      <c r="W8" s="769">
        <f t="shared" si="2"/>
        <v>0</v>
      </c>
      <c r="X8" s="770"/>
      <c r="Y8" s="3228" t="s">
        <v>2553</v>
      </c>
      <c r="Z8" s="3229"/>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2"/>
      <c r="Q11" s="1793" t="str">
        <f t="shared" si="6"/>
        <v>容积率</v>
      </c>
      <c r="R11" s="768" t="s">
        <v>21</v>
      </c>
      <c r="S11" s="769" t="e">
        <f t="shared" si="0"/>
        <v>#N/A</v>
      </c>
      <c r="T11" s="768" t="s">
        <v>21</v>
      </c>
      <c r="U11" s="769" t="e">
        <f t="shared" si="1"/>
        <v>#N/A</v>
      </c>
      <c r="V11" s="768" t="s">
        <v>21</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2"/>
      <c r="Q12" s="1793">
        <f t="shared" si="6"/>
        <v>111</v>
      </c>
      <c r="R12" s="768" t="s">
        <v>21</v>
      </c>
      <c r="S12" s="769">
        <f t="shared" si="0"/>
        <v>100</v>
      </c>
      <c r="T12" s="768" t="s">
        <v>21</v>
      </c>
      <c r="U12" s="769">
        <f t="shared" si="1"/>
        <v>100</v>
      </c>
      <c r="V12" s="768" t="s">
        <v>21</v>
      </c>
      <c r="W12" s="769">
        <f t="shared" si="2"/>
        <v>100</v>
      </c>
      <c r="X12" s="770"/>
      <c r="Y12" s="3101"/>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2"/>
      <c r="Q13" s="1793">
        <f t="shared" si="6"/>
        <v>111</v>
      </c>
      <c r="R13" s="768" t="s">
        <v>21</v>
      </c>
      <c r="S13" s="769">
        <f t="shared" si="0"/>
        <v>100</v>
      </c>
      <c r="T13" s="768" t="s">
        <v>21</v>
      </c>
      <c r="U13" s="769">
        <f t="shared" si="1"/>
        <v>100</v>
      </c>
      <c r="V13" s="768" t="s">
        <v>21</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2"/>
      <c r="Q14" s="1793">
        <f t="shared" si="6"/>
        <v>111</v>
      </c>
      <c r="R14" s="768" t="s">
        <v>21</v>
      </c>
      <c r="S14" s="769">
        <f t="shared" si="0"/>
        <v>100</v>
      </c>
      <c r="T14" s="768" t="s">
        <v>21</v>
      </c>
      <c r="U14" s="769">
        <f t="shared" si="1"/>
        <v>100</v>
      </c>
      <c r="V14" s="768" t="s">
        <v>21</v>
      </c>
      <c r="W14" s="769">
        <f t="shared" si="2"/>
        <v>100</v>
      </c>
      <c r="X14" s="770"/>
      <c r="Y14" s="3101"/>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56" t="s">
        <v>2561</v>
      </c>
      <c r="Q15" s="1808" t="str">
        <f t="shared" si="6"/>
        <v>居住社区成熟度</v>
      </c>
      <c r="R15" s="772" t="s">
        <v>21</v>
      </c>
      <c r="S15" s="773">
        <f t="shared" si="0"/>
        <v>100</v>
      </c>
      <c r="T15" s="772" t="s">
        <v>21</v>
      </c>
      <c r="U15" s="773">
        <f t="shared" si="1"/>
        <v>100</v>
      </c>
      <c r="V15" s="772" t="s">
        <v>21</v>
      </c>
      <c r="W15" s="773">
        <f t="shared" si="2"/>
        <v>100</v>
      </c>
      <c r="X15" s="1811"/>
      <c r="Y15" s="3258"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57"/>
      <c r="Q16" s="1808"/>
      <c r="R16" s="772"/>
      <c r="S16" s="773"/>
      <c r="T16" s="772"/>
      <c r="U16" s="773"/>
      <c r="V16" s="772"/>
      <c r="W16" s="773"/>
      <c r="X16" s="1811"/>
      <c r="Y16" s="3259"/>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57"/>
      <c r="Q17" s="1808" t="str">
        <f>B17</f>
        <v>交通便捷度</v>
      </c>
      <c r="R17" s="772" t="s">
        <v>21</v>
      </c>
      <c r="S17" s="773">
        <f>F17</f>
        <v>100</v>
      </c>
      <c r="T17" s="772" t="s">
        <v>21</v>
      </c>
      <c r="U17" s="773">
        <f>H17</f>
        <v>100</v>
      </c>
      <c r="V17" s="772" t="s">
        <v>21</v>
      </c>
      <c r="W17" s="773">
        <f>J17</f>
        <v>100</v>
      </c>
      <c r="X17" s="1811"/>
      <c r="Y17" s="3259"/>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57"/>
      <c r="Q18" s="1808"/>
      <c r="R18" s="772"/>
      <c r="S18" s="773"/>
      <c r="T18" s="772"/>
      <c r="U18" s="773"/>
      <c r="V18" s="772"/>
      <c r="W18" s="773"/>
      <c r="X18" s="1811"/>
      <c r="Y18" s="3259"/>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57"/>
      <c r="Q19" s="1808" t="str">
        <f>B19</f>
        <v>公共配套设施</v>
      </c>
      <c r="R19" s="772" t="s">
        <v>21</v>
      </c>
      <c r="S19" s="773">
        <f>F19</f>
        <v>100</v>
      </c>
      <c r="T19" s="772" t="s">
        <v>21</v>
      </c>
      <c r="U19" s="773">
        <f>H19</f>
        <v>100</v>
      </c>
      <c r="V19" s="772" t="s">
        <v>21</v>
      </c>
      <c r="W19" s="773">
        <f>J19</f>
        <v>100</v>
      </c>
      <c r="X19" s="1811"/>
      <c r="Y19" s="3259"/>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57"/>
      <c r="Q20" s="1808"/>
      <c r="R20" s="772"/>
      <c r="S20" s="773"/>
      <c r="T20" s="772"/>
      <c r="U20" s="773"/>
      <c r="V20" s="772"/>
      <c r="W20" s="773"/>
      <c r="X20" s="1811"/>
      <c r="Y20" s="3259"/>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57"/>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57"/>
      <c r="Q22" s="1808"/>
      <c r="R22" s="772"/>
      <c r="S22" s="773"/>
      <c r="T22" s="772"/>
      <c r="U22" s="773"/>
      <c r="V22" s="772"/>
      <c r="W22" s="773"/>
      <c r="X22" s="1811"/>
      <c r="Y22" s="3259"/>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57"/>
      <c r="Q23" s="1808" t="str">
        <f>B23</f>
        <v>自然及人文环境</v>
      </c>
      <c r="R23" s="772" t="s">
        <v>21</v>
      </c>
      <c r="S23" s="773">
        <f>F23</f>
        <v>100</v>
      </c>
      <c r="T23" s="772" t="s">
        <v>21</v>
      </c>
      <c r="U23" s="773">
        <f>H23</f>
        <v>100</v>
      </c>
      <c r="V23" s="772" t="s">
        <v>21</v>
      </c>
      <c r="W23" s="773">
        <f>J23</f>
        <v>100</v>
      </c>
      <c r="X23" s="1811"/>
      <c r="Y23" s="3259"/>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57"/>
      <c r="Q24" s="1808"/>
      <c r="R24" s="772"/>
      <c r="S24" s="773"/>
      <c r="T24" s="772"/>
      <c r="U24" s="773"/>
      <c r="V24" s="772"/>
      <c r="W24" s="773"/>
      <c r="X24" s="1811"/>
      <c r="Y24" s="3259"/>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5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59"/>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57"/>
      <c r="Q26" s="1808" t="str">
        <f t="shared" si="11"/>
        <v>朝向</v>
      </c>
      <c r="R26" s="772" t="s">
        <v>21</v>
      </c>
      <c r="S26" s="773">
        <f t="shared" si="12"/>
        <v>100</v>
      </c>
      <c r="T26" s="772" t="s">
        <v>21</v>
      </c>
      <c r="U26" s="773">
        <f t="shared" si="13"/>
        <v>100</v>
      </c>
      <c r="V26" s="772" t="s">
        <v>21</v>
      </c>
      <c r="W26" s="773">
        <f t="shared" si="14"/>
        <v>100</v>
      </c>
      <c r="X26" s="1811"/>
      <c r="Y26" s="3259"/>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57"/>
      <c r="Q27" s="1793">
        <f t="shared" si="11"/>
        <v>111</v>
      </c>
      <c r="R27" s="768" t="s">
        <v>21</v>
      </c>
      <c r="S27" s="769">
        <f t="shared" si="12"/>
        <v>100</v>
      </c>
      <c r="T27" s="768" t="s">
        <v>21</v>
      </c>
      <c r="U27" s="769">
        <f t="shared" si="13"/>
        <v>100</v>
      </c>
      <c r="V27" s="768" t="s">
        <v>21</v>
      </c>
      <c r="W27" s="769">
        <f t="shared" si="14"/>
        <v>100</v>
      </c>
      <c r="X27" s="770"/>
      <c r="Y27" s="3259"/>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57"/>
      <c r="Q28" s="1808">
        <f t="shared" si="11"/>
        <v>111</v>
      </c>
      <c r="R28" s="772" t="s">
        <v>21</v>
      </c>
      <c r="S28" s="773">
        <f t="shared" si="12"/>
        <v>100</v>
      </c>
      <c r="T28" s="772" t="s">
        <v>21</v>
      </c>
      <c r="U28" s="773">
        <f t="shared" si="13"/>
        <v>100</v>
      </c>
      <c r="V28" s="772" t="s">
        <v>21</v>
      </c>
      <c r="W28" s="773">
        <f t="shared" si="14"/>
        <v>100</v>
      </c>
      <c r="X28" s="1811"/>
      <c r="Y28" s="3259"/>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57"/>
      <c r="Q29" s="1808">
        <f t="shared" si="11"/>
        <v>111</v>
      </c>
      <c r="R29" s="772" t="s">
        <v>21</v>
      </c>
      <c r="S29" s="773">
        <f t="shared" si="12"/>
        <v>100</v>
      </c>
      <c r="T29" s="772" t="s">
        <v>21</v>
      </c>
      <c r="U29" s="773">
        <f t="shared" si="13"/>
        <v>100</v>
      </c>
      <c r="V29" s="772" t="s">
        <v>21</v>
      </c>
      <c r="W29" s="773">
        <f t="shared" si="14"/>
        <v>100</v>
      </c>
      <c r="X29" s="1811"/>
      <c r="Y29" s="3259"/>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57"/>
      <c r="Q30" s="1808">
        <f t="shared" si="11"/>
        <v>111</v>
      </c>
      <c r="R30" s="772" t="s">
        <v>21</v>
      </c>
      <c r="S30" s="773">
        <f t="shared" si="12"/>
        <v>100</v>
      </c>
      <c r="T30" s="772" t="s">
        <v>21</v>
      </c>
      <c r="U30" s="773">
        <f t="shared" si="13"/>
        <v>100</v>
      </c>
      <c r="V30" s="772" t="s">
        <v>21</v>
      </c>
      <c r="W30" s="773">
        <f t="shared" si="14"/>
        <v>100</v>
      </c>
      <c r="X30" s="1811"/>
      <c r="Y30" s="3259"/>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57"/>
      <c r="Q31" s="1808">
        <f t="shared" si="11"/>
        <v>111</v>
      </c>
      <c r="R31" s="772" t="s">
        <v>21</v>
      </c>
      <c r="S31" s="773">
        <f t="shared" si="12"/>
        <v>100</v>
      </c>
      <c r="T31" s="772" t="s">
        <v>21</v>
      </c>
      <c r="U31" s="773">
        <f t="shared" si="13"/>
        <v>100</v>
      </c>
      <c r="V31" s="772" t="s">
        <v>21</v>
      </c>
      <c r="W31" s="773">
        <f t="shared" si="14"/>
        <v>100</v>
      </c>
      <c r="X31" s="1811"/>
      <c r="Y31" s="3259"/>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60" t="s">
        <v>2566</v>
      </c>
      <c r="Q32" s="1808" t="str">
        <f t="shared" si="11"/>
        <v>建筑类型</v>
      </c>
      <c r="R32" s="772" t="s">
        <v>21</v>
      </c>
      <c r="S32" s="773">
        <f t="shared" si="12"/>
        <v>100</v>
      </c>
      <c r="T32" s="772" t="s">
        <v>21</v>
      </c>
      <c r="U32" s="773">
        <f t="shared" si="13"/>
        <v>100</v>
      </c>
      <c r="V32" s="772" t="s">
        <v>21</v>
      </c>
      <c r="W32" s="773">
        <f t="shared" si="14"/>
        <v>100</v>
      </c>
      <c r="X32" s="1811"/>
      <c r="Y32" s="3263"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61"/>
      <c r="Q33" s="774" t="str">
        <f t="shared" si="11"/>
        <v>项目建筑规模</v>
      </c>
      <c r="R33" s="775" t="s">
        <v>21</v>
      </c>
      <c r="S33" s="776" t="e">
        <f t="shared" si="12"/>
        <v>#N/A</v>
      </c>
      <c r="T33" s="775" t="s">
        <v>21</v>
      </c>
      <c r="U33" s="776" t="e">
        <f t="shared" si="13"/>
        <v>#N/A</v>
      </c>
      <c r="V33" s="775" t="s">
        <v>21</v>
      </c>
      <c r="W33" s="776" t="e">
        <f t="shared" si="14"/>
        <v>#N/A</v>
      </c>
      <c r="X33" s="777"/>
      <c r="Y33" s="3263"/>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61"/>
      <c r="Q34" s="1808" t="str">
        <f t="shared" si="11"/>
        <v>建筑结构</v>
      </c>
      <c r="R34" s="772" t="s">
        <v>21</v>
      </c>
      <c r="S34" s="773">
        <f t="shared" si="12"/>
        <v>100</v>
      </c>
      <c r="T34" s="772" t="s">
        <v>21</v>
      </c>
      <c r="U34" s="773">
        <f t="shared" si="13"/>
        <v>100</v>
      </c>
      <c r="V34" s="772" t="s">
        <v>21</v>
      </c>
      <c r="W34" s="773">
        <f t="shared" si="14"/>
        <v>100</v>
      </c>
      <c r="X34" s="1811"/>
      <c r="Y34" s="3263"/>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61"/>
      <c r="Q35" s="1808" t="str">
        <f t="shared" si="11"/>
        <v>建筑品质</v>
      </c>
      <c r="R35" s="772" t="s">
        <v>21</v>
      </c>
      <c r="S35" s="773">
        <f t="shared" si="12"/>
        <v>100</v>
      </c>
      <c r="T35" s="772" t="s">
        <v>21</v>
      </c>
      <c r="U35" s="773">
        <f t="shared" si="13"/>
        <v>100</v>
      </c>
      <c r="V35" s="772" t="s">
        <v>21</v>
      </c>
      <c r="W35" s="773">
        <f t="shared" si="14"/>
        <v>100</v>
      </c>
      <c r="X35" s="1811"/>
      <c r="Y35" s="3263"/>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61"/>
      <c r="Q36" s="1808" t="str">
        <f t="shared" si="11"/>
        <v>公共部分装修</v>
      </c>
      <c r="R36" s="772" t="s">
        <v>21</v>
      </c>
      <c r="S36" s="773">
        <f t="shared" si="12"/>
        <v>100</v>
      </c>
      <c r="T36" s="772" t="s">
        <v>21</v>
      </c>
      <c r="U36" s="773">
        <f t="shared" si="13"/>
        <v>100</v>
      </c>
      <c r="V36" s="772" t="s">
        <v>21</v>
      </c>
      <c r="W36" s="773">
        <f t="shared" si="14"/>
        <v>100</v>
      </c>
      <c r="X36" s="1811"/>
      <c r="Y36" s="3263"/>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61"/>
      <c r="Q37" s="1793" t="str">
        <f t="shared" si="11"/>
        <v>成新度</v>
      </c>
      <c r="R37" s="768" t="s">
        <v>21</v>
      </c>
      <c r="S37" s="769" t="e">
        <f t="shared" si="12"/>
        <v>#N/A</v>
      </c>
      <c r="T37" s="768" t="s">
        <v>21</v>
      </c>
      <c r="U37" s="769" t="e">
        <f t="shared" si="13"/>
        <v>#N/A</v>
      </c>
      <c r="V37" s="768" t="s">
        <v>21</v>
      </c>
      <c r="W37" s="769" t="e">
        <f t="shared" si="14"/>
        <v>#N/A</v>
      </c>
      <c r="X37" s="770"/>
      <c r="Y37" s="3263"/>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61" t="s">
        <v>2566</v>
      </c>
      <c r="Q38" s="1808" t="str">
        <f t="shared" si="11"/>
        <v>物业管理</v>
      </c>
      <c r="R38" s="772" t="s">
        <v>21</v>
      </c>
      <c r="S38" s="773">
        <f t="shared" si="12"/>
        <v>100</v>
      </c>
      <c r="T38" s="772" t="s">
        <v>21</v>
      </c>
      <c r="U38" s="773">
        <f t="shared" si="13"/>
        <v>100</v>
      </c>
      <c r="V38" s="772" t="s">
        <v>21</v>
      </c>
      <c r="W38" s="773">
        <f t="shared" si="14"/>
        <v>100</v>
      </c>
      <c r="X38" s="1811"/>
      <c r="Y38" s="3263"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61"/>
      <c r="Q39" s="1808" t="str">
        <f t="shared" si="11"/>
        <v>市政基础设施</v>
      </c>
      <c r="R39" s="772" t="s">
        <v>21</v>
      </c>
      <c r="S39" s="773">
        <f t="shared" si="12"/>
        <v>100</v>
      </c>
      <c r="T39" s="772" t="s">
        <v>21</v>
      </c>
      <c r="U39" s="773">
        <f t="shared" si="13"/>
        <v>100</v>
      </c>
      <c r="V39" s="772" t="s">
        <v>21</v>
      </c>
      <c r="W39" s="773">
        <f t="shared" si="14"/>
        <v>100</v>
      </c>
      <c r="X39" s="1811"/>
      <c r="Y39" s="3263"/>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61"/>
      <c r="Q40" s="1808" t="str">
        <f t="shared" si="11"/>
        <v>房型</v>
      </c>
      <c r="R40" s="772" t="s">
        <v>21</v>
      </c>
      <c r="S40" s="773">
        <f t="shared" si="12"/>
        <v>100</v>
      </c>
      <c r="T40" s="772" t="s">
        <v>21</v>
      </c>
      <c r="U40" s="773">
        <f t="shared" si="13"/>
        <v>100</v>
      </c>
      <c r="V40" s="772" t="s">
        <v>21</v>
      </c>
      <c r="W40" s="773">
        <f t="shared" si="14"/>
        <v>100</v>
      </c>
      <c r="X40" s="1811"/>
      <c r="Y40" s="3263"/>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61"/>
      <c r="Q41" s="774" t="str">
        <f t="shared" si="11"/>
        <v>单套/主力户型建筑面积</v>
      </c>
      <c r="R41" s="775" t="s">
        <v>21</v>
      </c>
      <c r="S41" s="776">
        <f t="shared" si="12"/>
        <v>100</v>
      </c>
      <c r="T41" s="775" t="s">
        <v>21</v>
      </c>
      <c r="U41" s="776">
        <f t="shared" si="13"/>
        <v>100</v>
      </c>
      <c r="V41" s="775" t="s">
        <v>21</v>
      </c>
      <c r="W41" s="776">
        <f t="shared" si="14"/>
        <v>100</v>
      </c>
      <c r="X41" s="777"/>
      <c r="Y41" s="3263"/>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61"/>
      <c r="Q42" s="1808" t="str">
        <f t="shared" si="11"/>
        <v>内部装修</v>
      </c>
      <c r="R42" s="772" t="s">
        <v>21</v>
      </c>
      <c r="S42" s="773">
        <f t="shared" si="12"/>
        <v>100</v>
      </c>
      <c r="T42" s="772" t="s">
        <v>21</v>
      </c>
      <c r="U42" s="773">
        <f t="shared" si="13"/>
        <v>100</v>
      </c>
      <c r="V42" s="772" t="s">
        <v>21</v>
      </c>
      <c r="W42" s="773">
        <f t="shared" si="14"/>
        <v>100</v>
      </c>
      <c r="X42" s="1811"/>
      <c r="Y42" s="3263"/>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61"/>
      <c r="Q43" s="1808" t="str">
        <f t="shared" si="11"/>
        <v>内部装修维护情况</v>
      </c>
      <c r="R43" s="772" t="s">
        <v>21</v>
      </c>
      <c r="S43" s="773">
        <f t="shared" si="12"/>
        <v>100</v>
      </c>
      <c r="T43" s="772" t="s">
        <v>21</v>
      </c>
      <c r="U43" s="773">
        <f t="shared" si="13"/>
        <v>100</v>
      </c>
      <c r="V43" s="772" t="s">
        <v>21</v>
      </c>
      <c r="W43" s="773">
        <f t="shared" si="14"/>
        <v>100</v>
      </c>
      <c r="X43" s="1811"/>
      <c r="Y43" s="3263"/>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61"/>
      <c r="Q44" s="1793">
        <f t="shared" si="11"/>
        <v>111</v>
      </c>
      <c r="R44" s="768" t="s">
        <v>21</v>
      </c>
      <c r="S44" s="769">
        <f t="shared" si="12"/>
        <v>100</v>
      </c>
      <c r="T44" s="768" t="s">
        <v>21</v>
      </c>
      <c r="U44" s="769">
        <f t="shared" si="13"/>
        <v>100</v>
      </c>
      <c r="V44" s="768" t="s">
        <v>21</v>
      </c>
      <c r="W44" s="769">
        <f t="shared" si="14"/>
        <v>100</v>
      </c>
      <c r="X44" s="770"/>
      <c r="Y44" s="3263"/>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61"/>
      <c r="Q45" s="1808">
        <f t="shared" si="11"/>
        <v>111</v>
      </c>
      <c r="R45" s="772" t="s">
        <v>21</v>
      </c>
      <c r="S45" s="773">
        <f t="shared" si="12"/>
        <v>100</v>
      </c>
      <c r="T45" s="772" t="s">
        <v>21</v>
      </c>
      <c r="U45" s="773">
        <f t="shared" si="13"/>
        <v>100</v>
      </c>
      <c r="V45" s="772" t="s">
        <v>21</v>
      </c>
      <c r="W45" s="773">
        <f t="shared" si="14"/>
        <v>100</v>
      </c>
      <c r="X45" s="1811"/>
      <c r="Y45" s="3263"/>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62"/>
      <c r="Q46" s="1808">
        <f t="shared" si="11"/>
        <v>111</v>
      </c>
      <c r="R46" s="772" t="s">
        <v>20</v>
      </c>
      <c r="S46" s="773">
        <f t="shared" si="12"/>
        <v>100</v>
      </c>
      <c r="T46" s="772" t="s">
        <v>20</v>
      </c>
      <c r="U46" s="773">
        <f t="shared" si="13"/>
        <v>100</v>
      </c>
      <c r="V46" s="772" t="s">
        <v>20</v>
      </c>
      <c r="W46" s="773">
        <f t="shared" si="14"/>
        <v>100</v>
      </c>
      <c r="X46" s="1811"/>
      <c r="Y46" s="3264"/>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65" t="str">
        <f>A47</f>
        <v>成交单价（元/平方米）</v>
      </c>
      <c r="Q47" s="3265"/>
      <c r="R47" s="3266">
        <f>E47</f>
        <v>0</v>
      </c>
      <c r="S47" s="3266"/>
      <c r="T47" s="3266">
        <f>G47</f>
        <v>0</v>
      </c>
      <c r="U47" s="3266"/>
      <c r="V47" s="3266">
        <f>I47</f>
        <v>0</v>
      </c>
      <c r="W47" s="3266"/>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65" t="str">
        <f>A48</f>
        <v>比较价值（元/平方米）</v>
      </c>
      <c r="Q48" s="3265"/>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2019年4月15日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307" t="s">
        <v>2652</v>
      </c>
      <c r="Q4" s="3308"/>
      <c r="R4" s="3302" t="s">
        <v>2648</v>
      </c>
      <c r="S4" s="3303"/>
      <c r="T4" s="3302" t="s">
        <v>2649</v>
      </c>
      <c r="U4" s="3303"/>
      <c r="V4" s="3311" t="s">
        <v>2650</v>
      </c>
      <c r="W4" s="3311"/>
      <c r="X4" s="2671"/>
      <c r="Y4" s="3302" t="s">
        <v>2652</v>
      </c>
      <c r="Z4" s="3303"/>
      <c r="AA4" s="3301" t="s">
        <v>2648</v>
      </c>
      <c r="AB4" s="3301" t="s">
        <v>2649</v>
      </c>
      <c r="AC4" s="3304" t="s">
        <v>2650</v>
      </c>
    </row>
    <row r="5" spans="1:29" ht="15">
      <c r="A5" s="404"/>
      <c r="B5" s="405"/>
      <c r="C5" s="3236" t="s">
        <v>2543</v>
      </c>
      <c r="D5" s="3237"/>
      <c r="E5" s="3234" t="str">
        <f>Sheet3!A26</f>
        <v>高教综合大楼</v>
      </c>
      <c r="F5" s="3235"/>
      <c r="G5" s="3236" t="str">
        <f>Sheet3!A27</f>
        <v>青年创业大厦</v>
      </c>
      <c r="H5" s="3237"/>
      <c r="I5" s="3236" t="str">
        <f>Sheet3!A28</f>
        <v>珠江摩派</v>
      </c>
      <c r="J5" s="3237"/>
      <c r="K5" s="610"/>
      <c r="L5" s="1131"/>
      <c r="M5" s="1132"/>
      <c r="N5" s="1132"/>
      <c r="O5" s="1132"/>
      <c r="P5" s="3309"/>
      <c r="Q5" s="3250"/>
      <c r="R5" s="3232"/>
      <c r="S5" s="3233"/>
      <c r="T5" s="3232"/>
      <c r="U5" s="3233"/>
      <c r="V5" s="3227"/>
      <c r="W5" s="3227"/>
      <c r="X5" s="1811"/>
      <c r="Y5" s="3232"/>
      <c r="Z5" s="3233"/>
      <c r="AA5" s="3225"/>
      <c r="AB5" s="3225"/>
      <c r="AC5" s="330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310"/>
      <c r="Q6" s="3252"/>
      <c r="R6" s="3232"/>
      <c r="S6" s="3233"/>
      <c r="T6" s="3253"/>
      <c r="U6" s="3254"/>
      <c r="V6" s="3227"/>
      <c r="W6" s="3227"/>
      <c r="X6" s="1811"/>
      <c r="Y6" s="3253"/>
      <c r="Z6" s="3254"/>
      <c r="AA6" s="3226"/>
      <c r="AB6" s="3226"/>
      <c r="AC6" s="3306"/>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2" t="s">
        <v>2550</v>
      </c>
      <c r="Q7" s="3255"/>
      <c r="R7" s="768" t="s">
        <v>17</v>
      </c>
      <c r="S7" s="769">
        <f t="shared" ref="S7:S15" si="0">F7</f>
        <v>100</v>
      </c>
      <c r="T7" s="768" t="s">
        <v>17</v>
      </c>
      <c r="U7" s="769">
        <f t="shared" ref="U7:U15" si="1">H7</f>
        <v>100</v>
      </c>
      <c r="V7" s="768" t="s">
        <v>17</v>
      </c>
      <c r="W7" s="769">
        <f t="shared" ref="W7:W15" si="2">J7</f>
        <v>100</v>
      </c>
      <c r="X7" s="770"/>
      <c r="Y7" s="3228" t="s">
        <v>2550</v>
      </c>
      <c r="Z7" s="3229"/>
      <c r="AA7" s="771">
        <f>D7/F7</f>
        <v>1</v>
      </c>
      <c r="AB7" s="771">
        <f>D7/H7</f>
        <v>1</v>
      </c>
      <c r="AC7" s="2672">
        <f>D7/J7</f>
        <v>1</v>
      </c>
    </row>
    <row r="8" spans="1:29" s="117" customFormat="1" ht="15.75" thickBot="1">
      <c r="A8" s="408" t="s">
        <v>2551</v>
      </c>
      <c r="B8" s="409"/>
      <c r="C8" s="414" t="s">
        <v>2653</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2" t="s">
        <v>2553</v>
      </c>
      <c r="Q8" s="3229"/>
      <c r="R8" s="768" t="s">
        <v>17</v>
      </c>
      <c r="S8" s="769">
        <f t="shared" si="0"/>
        <v>100</v>
      </c>
      <c r="T8" s="768" t="s">
        <v>17</v>
      </c>
      <c r="U8" s="769">
        <f t="shared" si="1"/>
        <v>100</v>
      </c>
      <c r="V8" s="768" t="s">
        <v>17</v>
      </c>
      <c r="W8" s="769">
        <f t="shared" si="2"/>
        <v>100</v>
      </c>
      <c r="X8" s="770"/>
      <c r="Y8" s="3228" t="s">
        <v>2553</v>
      </c>
      <c r="Z8" s="3229"/>
      <c r="AA8" s="771">
        <f t="shared" ref="AA8:AA47" si="3">D8/F8</f>
        <v>1</v>
      </c>
      <c r="AB8" s="771">
        <f t="shared" ref="AB8:AB47" si="4">D8/H8</f>
        <v>1</v>
      </c>
      <c r="AC8" s="2672">
        <f t="shared" ref="AC8:AC47" si="5">D8/J8</f>
        <v>1</v>
      </c>
    </row>
    <row r="9" spans="1:29" s="117" customFormat="1">
      <c r="A9" s="415" t="s">
        <v>2554</v>
      </c>
      <c r="B9" s="71" t="s">
        <v>2555</v>
      </c>
      <c r="C9" s="2971" t="s">
        <v>3101</v>
      </c>
      <c r="D9" s="135">
        <v>100</v>
      </c>
      <c r="E9" s="2972" t="s">
        <v>3101</v>
      </c>
      <c r="F9" s="135">
        <f>SUMIF(64:64,E9,65:65)-SUMIF(64:64,C9,65:65)+100</f>
        <v>100</v>
      </c>
      <c r="G9" s="2973" t="s">
        <v>3101</v>
      </c>
      <c r="H9" s="135">
        <f>SUMIF(64:64,G9,65:65)-SUMIF(64:64,C9,65:65)+100</f>
        <v>100</v>
      </c>
      <c r="I9" s="2973" t="s">
        <v>3101</v>
      </c>
      <c r="J9" s="135">
        <f>SUMIF(64:64,I9,65:65)-SUMIF(64:64,C9,65:65)+100</f>
        <v>100</v>
      </c>
      <c r="K9" s="611"/>
      <c r="L9" s="1133"/>
      <c r="M9" s="1134"/>
      <c r="N9" s="1134"/>
      <c r="O9" s="1134"/>
      <c r="P9" s="3242"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2672">
        <f t="shared" si="5"/>
        <v>1</v>
      </c>
    </row>
    <row r="10" spans="1:29" s="427" customFormat="1" ht="27">
      <c r="A10" s="421"/>
      <c r="B10" s="422"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2"/>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2"/>
      <c r="Q11" s="1793" t="str">
        <f t="shared" si="6"/>
        <v>容积率</v>
      </c>
      <c r="R11" s="768" t="s">
        <v>17</v>
      </c>
      <c r="S11" s="769">
        <f t="shared" si="0"/>
        <v>100</v>
      </c>
      <c r="T11" s="768" t="s">
        <v>17</v>
      </c>
      <c r="U11" s="769">
        <f t="shared" si="1"/>
        <v>100</v>
      </c>
      <c r="V11" s="768" t="s">
        <v>17</v>
      </c>
      <c r="W11" s="769">
        <f t="shared" si="2"/>
        <v>100</v>
      </c>
      <c r="X11" s="770"/>
      <c r="Y11" s="3101"/>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2"/>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2"/>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2"/>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6" t="s">
        <v>2561</v>
      </c>
      <c r="Q15" s="1808" t="str">
        <f t="shared" si="6"/>
        <v>办公集聚程度</v>
      </c>
      <c r="R15" s="772" t="s">
        <v>17</v>
      </c>
      <c r="S15" s="773">
        <f t="shared" si="0"/>
        <v>100</v>
      </c>
      <c r="T15" s="772" t="s">
        <v>17</v>
      </c>
      <c r="U15" s="773">
        <f t="shared" si="1"/>
        <v>100</v>
      </c>
      <c r="V15" s="772" t="s">
        <v>17</v>
      </c>
      <c r="W15" s="773">
        <f t="shared" si="2"/>
        <v>102</v>
      </c>
      <c r="X15" s="1811"/>
      <c r="Y15" s="3258" t="s">
        <v>2561</v>
      </c>
      <c r="Z15" s="1812" t="str">
        <f t="shared" si="7"/>
        <v>办公集聚程度</v>
      </c>
      <c r="AA15" s="1809">
        <f t="shared" si="3"/>
        <v>1</v>
      </c>
      <c r="AB15" s="180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57"/>
      <c r="Q16" s="1808"/>
      <c r="R16" s="772"/>
      <c r="S16" s="773"/>
      <c r="T16" s="772"/>
      <c r="U16" s="773"/>
      <c r="V16" s="772"/>
      <c r="W16" s="773"/>
      <c r="X16" s="1811"/>
      <c r="Y16" s="3259"/>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7"/>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57"/>
      <c r="Q18" s="1808"/>
      <c r="R18" s="772"/>
      <c r="S18" s="773"/>
      <c r="T18" s="772"/>
      <c r="U18" s="773"/>
      <c r="V18" s="772"/>
      <c r="W18" s="773"/>
      <c r="X18" s="1811"/>
      <c r="Y18" s="3259"/>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7"/>
      <c r="Q19" s="1808" t="str">
        <f>B19</f>
        <v>公共配套设施</v>
      </c>
      <c r="R19" s="772" t="s">
        <v>17</v>
      </c>
      <c r="S19" s="773">
        <f>F19</f>
        <v>100</v>
      </c>
      <c r="T19" s="772" t="s">
        <v>17</v>
      </c>
      <c r="U19" s="773">
        <f>H19</f>
        <v>100</v>
      </c>
      <c r="V19" s="772" t="s">
        <v>17</v>
      </c>
      <c r="W19" s="773">
        <f>J19</f>
        <v>100</v>
      </c>
      <c r="X19" s="1811"/>
      <c r="Y19" s="3259"/>
      <c r="Z19" s="1812" t="str">
        <f>Q19</f>
        <v>公共配套设施</v>
      </c>
      <c r="AA19" s="1809">
        <f t="shared" si="3"/>
        <v>1</v>
      </c>
      <c r="AB19" s="180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57"/>
      <c r="Q20" s="1808"/>
      <c r="R20" s="772"/>
      <c r="S20" s="773"/>
      <c r="T20" s="772"/>
      <c r="U20" s="773"/>
      <c r="V20" s="772"/>
      <c r="W20" s="773"/>
      <c r="X20" s="1811"/>
      <c r="Y20" s="3259"/>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7"/>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57"/>
      <c r="Q22" s="1808"/>
      <c r="R22" s="772"/>
      <c r="S22" s="773"/>
      <c r="T22" s="772"/>
      <c r="U22" s="773"/>
      <c r="V22" s="772"/>
      <c r="W22" s="773"/>
      <c r="X22" s="1811"/>
      <c r="Y22" s="3259"/>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57"/>
      <c r="Q23" s="1808" t="str">
        <f>B23</f>
        <v>环境质量</v>
      </c>
      <c r="R23" s="772" t="s">
        <v>17</v>
      </c>
      <c r="S23" s="773">
        <f>F23</f>
        <v>100</v>
      </c>
      <c r="T23" s="772" t="s">
        <v>17</v>
      </c>
      <c r="U23" s="773">
        <f>H23</f>
        <v>100</v>
      </c>
      <c r="V23" s="772" t="s">
        <v>17</v>
      </c>
      <c r="W23" s="773">
        <f>J23</f>
        <v>100</v>
      </c>
      <c r="X23" s="1811"/>
      <c r="Y23" s="3259"/>
      <c r="Z23" s="1812" t="str">
        <f>Q23</f>
        <v>环境质量</v>
      </c>
      <c r="AA23" s="1809">
        <f t="shared" si="3"/>
        <v>1</v>
      </c>
      <c r="AB23" s="180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57"/>
      <c r="Q24" s="1808"/>
      <c r="R24" s="772"/>
      <c r="S24" s="773"/>
      <c r="T24" s="772"/>
      <c r="U24" s="773"/>
      <c r="V24" s="772"/>
      <c r="W24" s="773"/>
      <c r="X24" s="1811"/>
      <c r="Y24" s="3259"/>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57"/>
      <c r="Q25" s="1808" t="str">
        <f>B25</f>
        <v>毗邻道路的类型与等级</v>
      </c>
      <c r="R25" s="772" t="s">
        <v>17</v>
      </c>
      <c r="S25" s="773">
        <f>F25</f>
        <v>94</v>
      </c>
      <c r="T25" s="772" t="s">
        <v>17</v>
      </c>
      <c r="U25" s="773">
        <f>H25</f>
        <v>94</v>
      </c>
      <c r="V25" s="772" t="s">
        <v>17</v>
      </c>
      <c r="W25" s="773">
        <f>J25</f>
        <v>100</v>
      </c>
      <c r="X25" s="1811"/>
      <c r="Y25" s="3259"/>
      <c r="Z25" s="1812" t="str">
        <f>Q25</f>
        <v>毗邻道路的类型与等级</v>
      </c>
      <c r="AA25" s="1809">
        <f t="shared" si="3"/>
        <v>1.0638297872340425</v>
      </c>
      <c r="AB25" s="180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57"/>
      <c r="Q26" s="1808"/>
      <c r="R26" s="772"/>
      <c r="S26" s="773"/>
      <c r="T26" s="772"/>
      <c r="U26" s="773"/>
      <c r="V26" s="772"/>
      <c r="W26" s="773"/>
      <c r="X26" s="1811"/>
      <c r="Y26" s="3259"/>
      <c r="Z26" s="1812"/>
      <c r="AA26" s="1809">
        <v>1</v>
      </c>
      <c r="AB26" s="1809">
        <v>1</v>
      </c>
      <c r="AC26" s="2675">
        <v>1</v>
      </c>
    </row>
    <row r="27" spans="1:29" ht="15">
      <c r="A27" s="428"/>
      <c r="B27" s="632" t="s">
        <v>2660</v>
      </c>
      <c r="C27" s="2981" t="s">
        <v>3109</v>
      </c>
      <c r="D27" s="435">
        <v>100</v>
      </c>
      <c r="E27" s="2982" t="s">
        <v>3121</v>
      </c>
      <c r="F27" s="435">
        <f>SUMIF(89:89,E27,90:90)-SUMIF(89:89,C27,90:90)+100</f>
        <v>105</v>
      </c>
      <c r="G27" s="2981" t="s">
        <v>3110</v>
      </c>
      <c r="H27" s="435">
        <f>SUMIF(89:89,G27,90:90)-SUMIF(89:89,C27,90:90)+100</f>
        <v>100</v>
      </c>
      <c r="I27" s="2982" t="s">
        <v>3122</v>
      </c>
      <c r="J27" s="435">
        <f>SUMIF(89:89,I27,90:90)-SUMIF(89:89,C27,90:90)+100</f>
        <v>105</v>
      </c>
      <c r="K27" s="612">
        <v>5</v>
      </c>
      <c r="L27" s="1141"/>
      <c r="M27" s="1132"/>
      <c r="N27" s="1132"/>
      <c r="O27" s="1132"/>
      <c r="P27" s="3257"/>
      <c r="Q27" s="1808" t="str">
        <f t="shared" ref="Q27:Q47" si="11">B27</f>
        <v>楼层</v>
      </c>
      <c r="R27" s="772" t="s">
        <v>17</v>
      </c>
      <c r="S27" s="773">
        <f>F27</f>
        <v>105</v>
      </c>
      <c r="T27" s="772" t="s">
        <v>17</v>
      </c>
      <c r="U27" s="773">
        <f>H27</f>
        <v>100</v>
      </c>
      <c r="V27" s="772" t="s">
        <v>17</v>
      </c>
      <c r="W27" s="773">
        <f>J27</f>
        <v>105</v>
      </c>
      <c r="X27" s="1811"/>
      <c r="Y27" s="3259"/>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57"/>
      <c r="Q28" s="1793" t="str">
        <f t="shared" si="11"/>
        <v>朝向</v>
      </c>
      <c r="R28" s="768" t="s">
        <v>17</v>
      </c>
      <c r="S28" s="769">
        <f>F28</f>
        <v>100</v>
      </c>
      <c r="T28" s="768" t="s">
        <v>17</v>
      </c>
      <c r="U28" s="769">
        <f>H28</f>
        <v>100</v>
      </c>
      <c r="V28" s="768" t="s">
        <v>17</v>
      </c>
      <c r="W28" s="769">
        <f>J28</f>
        <v>100</v>
      </c>
      <c r="X28" s="770"/>
      <c r="Y28" s="3259"/>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57"/>
      <c r="Q29" s="1808">
        <f t="shared" si="11"/>
        <v>111</v>
      </c>
      <c r="R29" s="772" t="s">
        <v>17</v>
      </c>
      <c r="S29" s="773">
        <f t="shared" ref="S29:S47" si="12">F29</f>
        <v>100</v>
      </c>
      <c r="T29" s="772" t="s">
        <v>17</v>
      </c>
      <c r="U29" s="773">
        <f t="shared" ref="U29:U47" si="13">H29</f>
        <v>100</v>
      </c>
      <c r="V29" s="772" t="s">
        <v>17</v>
      </c>
      <c r="W29" s="773">
        <f t="shared" ref="W29:W47" si="14">J29</f>
        <v>100</v>
      </c>
      <c r="X29" s="1811"/>
      <c r="Y29" s="3259"/>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57"/>
      <c r="Q30" s="1808">
        <f t="shared" si="11"/>
        <v>111</v>
      </c>
      <c r="R30" s="772" t="s">
        <v>17</v>
      </c>
      <c r="S30" s="773">
        <f t="shared" si="12"/>
        <v>100</v>
      </c>
      <c r="T30" s="772" t="s">
        <v>17</v>
      </c>
      <c r="U30" s="773">
        <f t="shared" si="13"/>
        <v>100</v>
      </c>
      <c r="V30" s="772" t="s">
        <v>17</v>
      </c>
      <c r="W30" s="773">
        <f t="shared" si="14"/>
        <v>100</v>
      </c>
      <c r="X30" s="1811"/>
      <c r="Y30" s="3259"/>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57"/>
      <c r="Q31" s="1808">
        <f t="shared" si="11"/>
        <v>111</v>
      </c>
      <c r="R31" s="772" t="s">
        <v>17</v>
      </c>
      <c r="S31" s="773">
        <f t="shared" si="12"/>
        <v>100</v>
      </c>
      <c r="T31" s="772" t="s">
        <v>17</v>
      </c>
      <c r="U31" s="773">
        <f t="shared" si="13"/>
        <v>100</v>
      </c>
      <c r="V31" s="772" t="s">
        <v>17</v>
      </c>
      <c r="W31" s="773">
        <f t="shared" si="14"/>
        <v>100</v>
      </c>
      <c r="X31" s="1811"/>
      <c r="Y31" s="3259"/>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57"/>
      <c r="Q32" s="1808">
        <f t="shared" si="11"/>
        <v>111</v>
      </c>
      <c r="R32" s="772" t="s">
        <v>17</v>
      </c>
      <c r="S32" s="773">
        <f t="shared" si="12"/>
        <v>100</v>
      </c>
      <c r="T32" s="772" t="s">
        <v>17</v>
      </c>
      <c r="U32" s="773">
        <f t="shared" si="13"/>
        <v>100</v>
      </c>
      <c r="V32" s="772" t="s">
        <v>17</v>
      </c>
      <c r="W32" s="773">
        <f t="shared" si="14"/>
        <v>100</v>
      </c>
      <c r="X32" s="1811"/>
      <c r="Y32" s="3259"/>
      <c r="Z32" s="1812">
        <f t="shared" si="15"/>
        <v>111</v>
      </c>
      <c r="AA32" s="1809">
        <f t="shared" si="3"/>
        <v>1</v>
      </c>
      <c r="AB32" s="180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60" t="s">
        <v>2566</v>
      </c>
      <c r="Q33" s="1808" t="str">
        <f t="shared" si="11"/>
        <v>建筑类型</v>
      </c>
      <c r="R33" s="772" t="s">
        <v>17</v>
      </c>
      <c r="S33" s="773">
        <f t="shared" si="12"/>
        <v>100</v>
      </c>
      <c r="T33" s="772" t="s">
        <v>17</v>
      </c>
      <c r="U33" s="773">
        <f t="shared" si="13"/>
        <v>100</v>
      </c>
      <c r="V33" s="772" t="s">
        <v>17</v>
      </c>
      <c r="W33" s="773">
        <f t="shared" si="14"/>
        <v>100</v>
      </c>
      <c r="X33" s="1811"/>
      <c r="Y33" s="3263"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1"/>
      <c r="Q34" s="774" t="str">
        <f t="shared" si="11"/>
        <v>项目建筑规模</v>
      </c>
      <c r="R34" s="775" t="s">
        <v>17</v>
      </c>
      <c r="S34" s="776">
        <f t="shared" si="12"/>
        <v>102</v>
      </c>
      <c r="T34" s="775" t="s">
        <v>17</v>
      </c>
      <c r="U34" s="776">
        <f t="shared" si="13"/>
        <v>98</v>
      </c>
      <c r="V34" s="775" t="s">
        <v>17</v>
      </c>
      <c r="W34" s="776">
        <f t="shared" si="14"/>
        <v>98</v>
      </c>
      <c r="X34" s="777"/>
      <c r="Y34" s="3263"/>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61"/>
      <c r="Q35" s="1808" t="str">
        <f t="shared" si="11"/>
        <v>建筑结构</v>
      </c>
      <c r="R35" s="772" t="s">
        <v>17</v>
      </c>
      <c r="S35" s="773">
        <f t="shared" si="12"/>
        <v>100</v>
      </c>
      <c r="T35" s="772" t="s">
        <v>17</v>
      </c>
      <c r="U35" s="773">
        <f t="shared" si="13"/>
        <v>100</v>
      </c>
      <c r="V35" s="772" t="s">
        <v>17</v>
      </c>
      <c r="W35" s="773">
        <f t="shared" si="14"/>
        <v>100</v>
      </c>
      <c r="X35" s="1811"/>
      <c r="Y35" s="3263"/>
      <c r="Z35" s="1812" t="str">
        <f t="shared" si="15"/>
        <v>建筑结构</v>
      </c>
      <c r="AA35" s="1809">
        <f t="shared" si="3"/>
        <v>1</v>
      </c>
      <c r="AB35" s="1809">
        <f t="shared" si="4"/>
        <v>1</v>
      </c>
      <c r="AC35" s="2675">
        <f t="shared" si="5"/>
        <v>1</v>
      </c>
    </row>
    <row r="36" spans="1:29" ht="15">
      <c r="A36" s="472"/>
      <c r="B36" s="422"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61"/>
      <c r="Q36" s="1808" t="str">
        <f t="shared" si="11"/>
        <v>公共部分装修</v>
      </c>
      <c r="R36" s="772" t="s">
        <v>17</v>
      </c>
      <c r="S36" s="773">
        <f t="shared" si="12"/>
        <v>100</v>
      </c>
      <c r="T36" s="772" t="s">
        <v>17</v>
      </c>
      <c r="U36" s="773">
        <f t="shared" si="13"/>
        <v>100</v>
      </c>
      <c r="V36" s="772" t="s">
        <v>17</v>
      </c>
      <c r="W36" s="773">
        <f t="shared" si="14"/>
        <v>100</v>
      </c>
      <c r="X36" s="1811"/>
      <c r="Y36" s="3263"/>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1"/>
      <c r="Q37" s="1808" t="str">
        <f t="shared" si="11"/>
        <v>成新度</v>
      </c>
      <c r="R37" s="772" t="s">
        <v>17</v>
      </c>
      <c r="S37" s="773">
        <f t="shared" si="12"/>
        <v>100</v>
      </c>
      <c r="T37" s="772" t="s">
        <v>17</v>
      </c>
      <c r="U37" s="773">
        <f t="shared" si="13"/>
        <v>100</v>
      </c>
      <c r="V37" s="772" t="s">
        <v>17</v>
      </c>
      <c r="W37" s="773">
        <f t="shared" si="14"/>
        <v>100</v>
      </c>
      <c r="X37" s="1811"/>
      <c r="Y37" s="3263"/>
      <c r="Z37" s="1812" t="str">
        <f t="shared" si="15"/>
        <v>成新度</v>
      </c>
      <c r="AA37" s="1809">
        <f t="shared" si="3"/>
        <v>1</v>
      </c>
      <c r="AB37" s="1809">
        <f t="shared" si="4"/>
        <v>1</v>
      </c>
      <c r="AC37" s="2675">
        <f t="shared" si="5"/>
        <v>1</v>
      </c>
    </row>
    <row r="38" spans="1:29" s="117" customFormat="1" ht="15">
      <c r="A38" s="473"/>
      <c r="B38" s="422"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61"/>
      <c r="Q38" s="1793" t="str">
        <f t="shared" si="11"/>
        <v>写字楼等级</v>
      </c>
      <c r="R38" s="768" t="s">
        <v>17</v>
      </c>
      <c r="S38" s="769">
        <f t="shared" si="12"/>
        <v>100</v>
      </c>
      <c r="T38" s="768" t="s">
        <v>17</v>
      </c>
      <c r="U38" s="769">
        <f t="shared" si="13"/>
        <v>100</v>
      </c>
      <c r="V38" s="768" t="s">
        <v>17</v>
      </c>
      <c r="W38" s="769">
        <f t="shared" si="14"/>
        <v>100</v>
      </c>
      <c r="X38" s="770"/>
      <c r="Y38" s="3263"/>
      <c r="Z38" s="55" t="str">
        <f t="shared" si="15"/>
        <v>写字楼等级</v>
      </c>
      <c r="AA38" s="771">
        <f t="shared" si="3"/>
        <v>1</v>
      </c>
      <c r="AB38" s="771">
        <f t="shared" si="4"/>
        <v>1</v>
      </c>
      <c r="AC38" s="2672">
        <f t="shared" si="5"/>
        <v>1</v>
      </c>
    </row>
    <row r="39" spans="1:29" ht="15">
      <c r="A39" s="472"/>
      <c r="B39" s="422"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61" t="s">
        <v>2566</v>
      </c>
      <c r="Q39" s="1808" t="str">
        <f t="shared" si="11"/>
        <v>物业管理</v>
      </c>
      <c r="R39" s="772" t="s">
        <v>17</v>
      </c>
      <c r="S39" s="773">
        <f t="shared" si="12"/>
        <v>100</v>
      </c>
      <c r="T39" s="772" t="s">
        <v>17</v>
      </c>
      <c r="U39" s="773">
        <f t="shared" si="13"/>
        <v>100</v>
      </c>
      <c r="V39" s="772" t="s">
        <v>17</v>
      </c>
      <c r="W39" s="773">
        <f t="shared" si="14"/>
        <v>100</v>
      </c>
      <c r="X39" s="1811"/>
      <c r="Y39" s="3263" t="s">
        <v>2566</v>
      </c>
      <c r="Z39" s="1812" t="str">
        <f t="shared" si="15"/>
        <v>物业管理</v>
      </c>
      <c r="AA39" s="1809">
        <f t="shared" si="3"/>
        <v>1</v>
      </c>
      <c r="AB39" s="1809">
        <f t="shared" si="4"/>
        <v>1</v>
      </c>
      <c r="AC39" s="2675">
        <f t="shared" si="5"/>
        <v>1</v>
      </c>
    </row>
    <row r="40" spans="1:29" ht="15">
      <c r="A40" s="472"/>
      <c r="B40" s="422" t="s">
        <v>2664</v>
      </c>
      <c r="C40" s="2995" t="s">
        <v>3118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61"/>
      <c r="Q40" s="1808" t="str">
        <f t="shared" si="11"/>
        <v>市政基础设施</v>
      </c>
      <c r="R40" s="772" t="s">
        <v>17</v>
      </c>
      <c r="S40" s="773">
        <f t="shared" si="12"/>
        <v>96</v>
      </c>
      <c r="T40" s="772" t="s">
        <v>17</v>
      </c>
      <c r="U40" s="773">
        <f t="shared" si="13"/>
        <v>96</v>
      </c>
      <c r="V40" s="772" t="s">
        <v>17</v>
      </c>
      <c r="W40" s="773">
        <f t="shared" si="14"/>
        <v>96</v>
      </c>
      <c r="X40" s="1811"/>
      <c r="Y40" s="3263"/>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61"/>
      <c r="Q41" s="1808" t="str">
        <f t="shared" si="11"/>
        <v>层高</v>
      </c>
      <c r="R41" s="772" t="s">
        <v>17</v>
      </c>
      <c r="S41" s="773">
        <f t="shared" si="12"/>
        <v>100</v>
      </c>
      <c r="T41" s="772" t="s">
        <v>17</v>
      </c>
      <c r="U41" s="773">
        <f t="shared" si="13"/>
        <v>100</v>
      </c>
      <c r="V41" s="772" t="s">
        <v>17</v>
      </c>
      <c r="W41" s="773">
        <f t="shared" si="14"/>
        <v>100</v>
      </c>
      <c r="X41" s="1811"/>
      <c r="Y41" s="3263"/>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1"/>
      <c r="Q42" s="774" t="str">
        <f t="shared" si="11"/>
        <v>单套建筑面积</v>
      </c>
      <c r="R42" s="775" t="s">
        <v>17</v>
      </c>
      <c r="S42" s="776">
        <f t="shared" si="12"/>
        <v>100</v>
      </c>
      <c r="T42" s="775" t="s">
        <v>17</v>
      </c>
      <c r="U42" s="776">
        <f t="shared" si="13"/>
        <v>100</v>
      </c>
      <c r="V42" s="775" t="s">
        <v>17</v>
      </c>
      <c r="W42" s="776">
        <f t="shared" si="14"/>
        <v>100</v>
      </c>
      <c r="X42" s="777"/>
      <c r="Y42" s="3263"/>
      <c r="Z42" s="778" t="str">
        <f t="shared" si="15"/>
        <v>单套建筑面积</v>
      </c>
      <c r="AA42" s="1809">
        <f t="shared" si="3"/>
        <v>1</v>
      </c>
      <c r="AB42" s="1809">
        <f t="shared" si="4"/>
        <v>1</v>
      </c>
      <c r="AC42" s="2675">
        <f t="shared" si="5"/>
        <v>1</v>
      </c>
    </row>
    <row r="43" spans="1:29" ht="15">
      <c r="A43" s="472"/>
      <c r="B43" s="422" t="s">
        <v>2669</v>
      </c>
      <c r="C43" s="2985" t="s">
        <v>3165</v>
      </c>
      <c r="D43" s="435">
        <v>100</v>
      </c>
      <c r="E43" s="2985" t="s">
        <v>3166</v>
      </c>
      <c r="F43" s="461">
        <f>SUMIF(123:123,E43,124:124)-SUMIF(123:123,C43,124:124)+100</f>
        <v>104</v>
      </c>
      <c r="G43" s="2985" t="s">
        <v>3166</v>
      </c>
      <c r="H43" s="435">
        <f>SUMIF(123:123,G43,124:124)-SUMIF(123:123,C43,124:124)+100</f>
        <v>104</v>
      </c>
      <c r="I43" s="2985" t="s">
        <v>3167</v>
      </c>
      <c r="J43" s="435">
        <f>SUMIF(123:123,I43,124:124)-SUMIF(123:123,C43,124:124)+100</f>
        <v>104</v>
      </c>
      <c r="K43" s="612">
        <v>2</v>
      </c>
      <c r="L43" s="1141"/>
      <c r="M43" s="1132"/>
      <c r="N43" s="1132"/>
      <c r="O43" s="1132"/>
      <c r="P43" s="3261"/>
      <c r="Q43" s="1808" t="str">
        <f t="shared" si="11"/>
        <v>内部装修</v>
      </c>
      <c r="R43" s="772" t="s">
        <v>17</v>
      </c>
      <c r="S43" s="773">
        <f t="shared" si="12"/>
        <v>104</v>
      </c>
      <c r="T43" s="772" t="s">
        <v>17</v>
      </c>
      <c r="U43" s="773">
        <f t="shared" si="13"/>
        <v>104</v>
      </c>
      <c r="V43" s="772" t="s">
        <v>17</v>
      </c>
      <c r="W43" s="773">
        <f t="shared" si="14"/>
        <v>104</v>
      </c>
      <c r="X43" s="1811"/>
      <c r="Y43" s="3263"/>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61"/>
      <c r="Q44" s="1808" t="str">
        <f t="shared" si="11"/>
        <v>内部装修维护情况</v>
      </c>
      <c r="R44" s="772" t="s">
        <v>17</v>
      </c>
      <c r="S44" s="773">
        <f t="shared" si="12"/>
        <v>100</v>
      </c>
      <c r="T44" s="772" t="s">
        <v>17</v>
      </c>
      <c r="U44" s="773">
        <f t="shared" si="13"/>
        <v>100</v>
      </c>
      <c r="V44" s="772" t="s">
        <v>17</v>
      </c>
      <c r="W44" s="773">
        <f t="shared" si="14"/>
        <v>100</v>
      </c>
      <c r="X44" s="1811"/>
      <c r="Y44" s="3263"/>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61"/>
      <c r="Q45" s="1793">
        <f t="shared" si="11"/>
        <v>111</v>
      </c>
      <c r="R45" s="768" t="s">
        <v>17</v>
      </c>
      <c r="S45" s="769">
        <f t="shared" si="12"/>
        <v>100</v>
      </c>
      <c r="T45" s="768" t="s">
        <v>17</v>
      </c>
      <c r="U45" s="769">
        <f t="shared" si="13"/>
        <v>100</v>
      </c>
      <c r="V45" s="768" t="s">
        <v>17</v>
      </c>
      <c r="W45" s="769">
        <f t="shared" si="14"/>
        <v>100</v>
      </c>
      <c r="X45" s="770"/>
      <c r="Y45" s="3263"/>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1"/>
      <c r="Q46" s="1808">
        <f t="shared" si="11"/>
        <v>111</v>
      </c>
      <c r="R46" s="772" t="s">
        <v>17</v>
      </c>
      <c r="S46" s="773">
        <f t="shared" si="12"/>
        <v>100</v>
      </c>
      <c r="T46" s="772" t="s">
        <v>17</v>
      </c>
      <c r="U46" s="773">
        <f t="shared" si="13"/>
        <v>100</v>
      </c>
      <c r="V46" s="772" t="s">
        <v>17</v>
      </c>
      <c r="W46" s="773">
        <f t="shared" si="14"/>
        <v>100</v>
      </c>
      <c r="X46" s="1811"/>
      <c r="Y46" s="3263"/>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2"/>
      <c r="Q47" s="1808">
        <f t="shared" si="11"/>
        <v>0.95</v>
      </c>
      <c r="R47" s="772" t="s">
        <v>17</v>
      </c>
      <c r="S47" s="773">
        <f t="shared" si="12"/>
        <v>100</v>
      </c>
      <c r="T47" s="772" t="s">
        <v>17</v>
      </c>
      <c r="U47" s="773">
        <f t="shared" si="13"/>
        <v>100</v>
      </c>
      <c r="V47" s="772" t="s">
        <v>17</v>
      </c>
      <c r="W47" s="773">
        <f t="shared" si="14"/>
        <v>100</v>
      </c>
      <c r="X47" s="1811"/>
      <c r="Y47" s="3264"/>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2" t="str">
        <f>A48</f>
        <v>成交单价（元/平方米）</v>
      </c>
      <c r="Q48" s="3265"/>
      <c r="R48" s="3266">
        <f>E48</f>
        <v>26600</v>
      </c>
      <c r="S48" s="3266"/>
      <c r="T48" s="3266">
        <f>G48</f>
        <v>23750</v>
      </c>
      <c r="U48" s="3266"/>
      <c r="V48" s="3266">
        <f>I48</f>
        <v>26600</v>
      </c>
      <c r="W48" s="3266"/>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2" t="str">
        <f>A49</f>
        <v>比较价值（元/平方米）</v>
      </c>
      <c r="Q49" s="3265"/>
      <c r="R49" s="3266">
        <f>IF(F1="售价",ROUND(PRODUCT(R48,AA7:AA47),0),ROUND(PRODUCT(R48,AA7:AA47),1))</f>
        <v>26464</v>
      </c>
      <c r="S49" s="3266"/>
      <c r="T49" s="3266">
        <f>IF(F1="售价",ROUND(PRODUCT(T48,AB7:AB47),0),ROUND(PRODUCT(T48,AB7:AB47),1))</f>
        <v>25823</v>
      </c>
      <c r="U49" s="3266"/>
      <c r="V49" s="3266">
        <f>IF(F1="售价",ROUND(PRODUCT(V48,AC7:AC47),0),ROUND(PRODUCT(V48,AC7:AC47),1))</f>
        <v>25384</v>
      </c>
      <c r="W49" s="3266"/>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13" t="str">
        <f>A50</f>
        <v>估价对象XX用房的比较价值（楼面单价，元/平方米）</v>
      </c>
      <c r="Q50" s="3314"/>
      <c r="R50" s="3315">
        <f>IF(F1="售价",ROUND(AVERAGE(R49:V49),0),ROUND(AVERAGE(R49:V49),1))</f>
        <v>25890</v>
      </c>
      <c r="S50" s="3315"/>
      <c r="T50" s="3315"/>
      <c r="U50" s="3315"/>
      <c r="V50" s="3315"/>
      <c r="W50" s="3315"/>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3175</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3122</v>
      </c>
      <c r="D89" s="2983" t="s">
        <v>3110</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3177</v>
      </c>
      <c r="D117" s="2983" t="s">
        <v>3178</v>
      </c>
      <c r="E117" s="2983" t="s">
        <v>3180</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3168</v>
      </c>
      <c r="D123" s="2983" t="s">
        <v>3169</v>
      </c>
      <c r="E123" s="2983" t="s">
        <v>3170</v>
      </c>
      <c r="F123" s="2994" t="s">
        <v>3171</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28" t="s">
        <v>2550</v>
      </c>
      <c r="Q7" s="3255"/>
      <c r="R7" s="768" t="s">
        <v>17</v>
      </c>
      <c r="S7" s="769">
        <f t="shared" ref="S7:S15" si="0">F7</f>
        <v>0</v>
      </c>
      <c r="T7" s="768" t="s">
        <v>17</v>
      </c>
      <c r="U7" s="769">
        <f t="shared" ref="U7:U15" si="1">H7</f>
        <v>0</v>
      </c>
      <c r="V7" s="768" t="s">
        <v>17</v>
      </c>
      <c r="W7" s="769">
        <f t="shared" ref="W7:W15" si="2">J7</f>
        <v>0</v>
      </c>
      <c r="X7" s="770"/>
      <c r="Y7" s="3228" t="s">
        <v>2550</v>
      </c>
      <c r="Z7" s="3229"/>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65"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65"/>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65"/>
      <c r="Q11" s="1793"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65"/>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58" t="s">
        <v>2561</v>
      </c>
      <c r="Q15" s="1808" t="str">
        <f t="shared" si="6"/>
        <v>产业集聚程度</v>
      </c>
      <c r="R15" s="772" t="s">
        <v>17</v>
      </c>
      <c r="S15" s="773">
        <f t="shared" si="0"/>
        <v>100</v>
      </c>
      <c r="T15" s="772" t="s">
        <v>17</v>
      </c>
      <c r="U15" s="773">
        <f t="shared" si="1"/>
        <v>100</v>
      </c>
      <c r="V15" s="772" t="s">
        <v>17</v>
      </c>
      <c r="W15" s="773">
        <f t="shared" si="2"/>
        <v>100</v>
      </c>
      <c r="X15" s="1811"/>
      <c r="Y15" s="3258"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59"/>
      <c r="Q16" s="1808"/>
      <c r="R16" s="772"/>
      <c r="S16" s="773"/>
      <c r="T16" s="772"/>
      <c r="U16" s="773"/>
      <c r="V16" s="772"/>
      <c r="W16" s="773"/>
      <c r="X16" s="1811"/>
      <c r="Y16" s="3259"/>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59"/>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59"/>
      <c r="Q18" s="1808"/>
      <c r="R18" s="772"/>
      <c r="S18" s="773"/>
      <c r="T18" s="772"/>
      <c r="U18" s="773"/>
      <c r="V18" s="772"/>
      <c r="W18" s="773"/>
      <c r="X18" s="1811"/>
      <c r="Y18" s="3259"/>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59"/>
      <c r="Q19" s="1808" t="str">
        <f>B19</f>
        <v>公共配套设施</v>
      </c>
      <c r="R19" s="772" t="s">
        <v>17</v>
      </c>
      <c r="S19" s="773">
        <f>F19</f>
        <v>100</v>
      </c>
      <c r="T19" s="772" t="s">
        <v>17</v>
      </c>
      <c r="U19" s="773">
        <f>H19</f>
        <v>100</v>
      </c>
      <c r="V19" s="772" t="s">
        <v>17</v>
      </c>
      <c r="W19" s="773">
        <f>J19</f>
        <v>100</v>
      </c>
      <c r="X19" s="1811"/>
      <c r="Y19" s="3259"/>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59"/>
      <c r="Q20" s="1808"/>
      <c r="R20" s="772"/>
      <c r="S20" s="773"/>
      <c r="T20" s="772"/>
      <c r="U20" s="773"/>
      <c r="V20" s="772"/>
      <c r="W20" s="773"/>
      <c r="X20" s="1811"/>
      <c r="Y20" s="3259"/>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59"/>
      <c r="Q21" s="1808" t="str">
        <f>B21</f>
        <v>基础设施水平</v>
      </c>
      <c r="R21" s="772" t="s">
        <v>17</v>
      </c>
      <c r="S21" s="773">
        <f>F21</f>
        <v>100</v>
      </c>
      <c r="T21" s="772" t="s">
        <v>17</v>
      </c>
      <c r="U21" s="773">
        <f>H21</f>
        <v>100</v>
      </c>
      <c r="V21" s="772" t="s">
        <v>17</v>
      </c>
      <c r="W21" s="773">
        <f>J21</f>
        <v>100</v>
      </c>
      <c r="X21" s="1811"/>
      <c r="Y21" s="3259"/>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59"/>
      <c r="Q22" s="1808"/>
      <c r="R22" s="772"/>
      <c r="S22" s="773"/>
      <c r="T22" s="772"/>
      <c r="U22" s="773"/>
      <c r="V22" s="772"/>
      <c r="W22" s="773"/>
      <c r="X22" s="1811"/>
      <c r="Y22" s="3259"/>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59"/>
      <c r="Q23" s="1808" t="str">
        <f>B23</f>
        <v>环境质量</v>
      </c>
      <c r="R23" s="772" t="s">
        <v>17</v>
      </c>
      <c r="S23" s="773">
        <f>F23</f>
        <v>100</v>
      </c>
      <c r="T23" s="772" t="s">
        <v>17</v>
      </c>
      <c r="U23" s="773">
        <f>H23</f>
        <v>100</v>
      </c>
      <c r="V23" s="772" t="s">
        <v>17</v>
      </c>
      <c r="W23" s="773">
        <f>J23</f>
        <v>100</v>
      </c>
      <c r="X23" s="1811"/>
      <c r="Y23" s="3259"/>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59"/>
      <c r="Q24" s="1808"/>
      <c r="R24" s="772"/>
      <c r="S24" s="773"/>
      <c r="T24" s="772"/>
      <c r="U24" s="773"/>
      <c r="V24" s="772"/>
      <c r="W24" s="773"/>
      <c r="X24" s="1811"/>
      <c r="Y24" s="3259"/>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59"/>
      <c r="Q25" s="1808">
        <f>B25</f>
        <v>111</v>
      </c>
      <c r="R25" s="772" t="s">
        <v>17</v>
      </c>
      <c r="S25" s="773">
        <f>F25</f>
        <v>100</v>
      </c>
      <c r="T25" s="772" t="s">
        <v>17</v>
      </c>
      <c r="U25" s="773">
        <f>H25</f>
        <v>100</v>
      </c>
      <c r="V25" s="772" t="s">
        <v>17</v>
      </c>
      <c r="W25" s="773">
        <f>J25</f>
        <v>100</v>
      </c>
      <c r="X25" s="1811"/>
      <c r="Y25" s="3259"/>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59"/>
      <c r="Q26" s="1808">
        <f t="shared" ref="Q26:Q40" si="11">B26</f>
        <v>111</v>
      </c>
      <c r="R26" s="772" t="s">
        <v>17</v>
      </c>
      <c r="S26" s="773">
        <f>F26</f>
        <v>100</v>
      </c>
      <c r="T26" s="772" t="s">
        <v>17</v>
      </c>
      <c r="U26" s="773">
        <f>H26</f>
        <v>100</v>
      </c>
      <c r="V26" s="772" t="s">
        <v>17</v>
      </c>
      <c r="W26" s="773">
        <f>J26</f>
        <v>100</v>
      </c>
      <c r="X26" s="1811"/>
      <c r="Y26" s="3259"/>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59"/>
      <c r="Q27" s="1793">
        <f t="shared" si="11"/>
        <v>111</v>
      </c>
      <c r="R27" s="768" t="s">
        <v>17</v>
      </c>
      <c r="S27" s="769">
        <f>F27</f>
        <v>100</v>
      </c>
      <c r="T27" s="768" t="s">
        <v>17</v>
      </c>
      <c r="U27" s="769">
        <f>H27</f>
        <v>100</v>
      </c>
      <c r="V27" s="768" t="s">
        <v>17</v>
      </c>
      <c r="W27" s="769">
        <f>J27</f>
        <v>100</v>
      </c>
      <c r="X27" s="770"/>
      <c r="Y27" s="3259"/>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59"/>
      <c r="Q28" s="1808">
        <f t="shared" si="11"/>
        <v>111</v>
      </c>
      <c r="R28" s="772" t="s">
        <v>17</v>
      </c>
      <c r="S28" s="773">
        <f t="shared" ref="S28:S40" si="12">F28</f>
        <v>100</v>
      </c>
      <c r="T28" s="772" t="s">
        <v>17</v>
      </c>
      <c r="U28" s="773">
        <f t="shared" ref="U28:U40" si="13">H28</f>
        <v>100</v>
      </c>
      <c r="V28" s="772" t="s">
        <v>17</v>
      </c>
      <c r="W28" s="773">
        <f t="shared" ref="W28:W40" si="14">J28</f>
        <v>100</v>
      </c>
      <c r="X28" s="1811"/>
      <c r="Y28" s="3259"/>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16" t="s">
        <v>2566</v>
      </c>
      <c r="Q29" s="1808" t="str">
        <f t="shared" si="11"/>
        <v>建筑类型</v>
      </c>
      <c r="R29" s="772" t="s">
        <v>17</v>
      </c>
      <c r="S29" s="773">
        <f t="shared" si="12"/>
        <v>100</v>
      </c>
      <c r="T29" s="772" t="s">
        <v>17</v>
      </c>
      <c r="U29" s="773">
        <f t="shared" si="13"/>
        <v>100</v>
      </c>
      <c r="V29" s="772" t="s">
        <v>17</v>
      </c>
      <c r="W29" s="773">
        <f t="shared" si="14"/>
        <v>100</v>
      </c>
      <c r="X29" s="1811"/>
      <c r="Y29" s="3263"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3"/>
      <c r="Q30" s="774" t="str">
        <f t="shared" si="11"/>
        <v>项目建筑规模</v>
      </c>
      <c r="R30" s="775" t="s">
        <v>17</v>
      </c>
      <c r="S30" s="776" t="e">
        <f t="shared" si="12"/>
        <v>#N/A</v>
      </c>
      <c r="T30" s="775" t="s">
        <v>17</v>
      </c>
      <c r="U30" s="776" t="e">
        <f t="shared" si="13"/>
        <v>#N/A</v>
      </c>
      <c r="V30" s="775" t="s">
        <v>17</v>
      </c>
      <c r="W30" s="776" t="e">
        <f t="shared" si="14"/>
        <v>#N/A</v>
      </c>
      <c r="X30" s="777"/>
      <c r="Y30" s="3263"/>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3"/>
      <c r="Q31" s="1808" t="str">
        <f t="shared" si="11"/>
        <v>建筑结构</v>
      </c>
      <c r="R31" s="772" t="s">
        <v>17</v>
      </c>
      <c r="S31" s="773">
        <f t="shared" si="12"/>
        <v>100</v>
      </c>
      <c r="T31" s="772" t="s">
        <v>17</v>
      </c>
      <c r="U31" s="773">
        <f t="shared" si="13"/>
        <v>100</v>
      </c>
      <c r="V31" s="772" t="s">
        <v>17</v>
      </c>
      <c r="W31" s="773">
        <f t="shared" si="14"/>
        <v>100</v>
      </c>
      <c r="X31" s="1811"/>
      <c r="Y31" s="3263"/>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3"/>
      <c r="Q32" s="1808" t="str">
        <f t="shared" si="11"/>
        <v>公共部分装修</v>
      </c>
      <c r="R32" s="772" t="s">
        <v>17</v>
      </c>
      <c r="S32" s="773">
        <f t="shared" si="12"/>
        <v>100</v>
      </c>
      <c r="T32" s="772" t="s">
        <v>17</v>
      </c>
      <c r="U32" s="773">
        <f t="shared" si="13"/>
        <v>100</v>
      </c>
      <c r="V32" s="772" t="s">
        <v>17</v>
      </c>
      <c r="W32" s="773">
        <f t="shared" si="14"/>
        <v>100</v>
      </c>
      <c r="X32" s="1811"/>
      <c r="Y32" s="3263"/>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3"/>
      <c r="Q33" s="1808" t="str">
        <f t="shared" si="11"/>
        <v>成新度</v>
      </c>
      <c r="R33" s="772" t="s">
        <v>17</v>
      </c>
      <c r="S33" s="773" t="e">
        <f t="shared" si="12"/>
        <v>#N/A</v>
      </c>
      <c r="T33" s="772" t="s">
        <v>17</v>
      </c>
      <c r="U33" s="773" t="e">
        <f t="shared" si="13"/>
        <v>#N/A</v>
      </c>
      <c r="V33" s="772" t="s">
        <v>17</v>
      </c>
      <c r="W33" s="773" t="e">
        <f t="shared" si="14"/>
        <v>#N/A</v>
      </c>
      <c r="X33" s="1811"/>
      <c r="Y33" s="3263"/>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3"/>
      <c r="Q34" s="1793" t="str">
        <f t="shared" si="11"/>
        <v>物业管理</v>
      </c>
      <c r="R34" s="768" t="s">
        <v>17</v>
      </c>
      <c r="S34" s="769">
        <f t="shared" si="12"/>
        <v>100</v>
      </c>
      <c r="T34" s="768" t="s">
        <v>17</v>
      </c>
      <c r="U34" s="769">
        <f t="shared" si="13"/>
        <v>100</v>
      </c>
      <c r="V34" s="768" t="s">
        <v>17</v>
      </c>
      <c r="W34" s="769">
        <f t="shared" si="14"/>
        <v>100</v>
      </c>
      <c r="X34" s="770"/>
      <c r="Y34" s="3263"/>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3" t="s">
        <v>2566</v>
      </c>
      <c r="Q35" s="1808" t="str">
        <f t="shared" si="11"/>
        <v>市政基础设施</v>
      </c>
      <c r="R35" s="772" t="s">
        <v>17</v>
      </c>
      <c r="S35" s="773">
        <f t="shared" si="12"/>
        <v>100</v>
      </c>
      <c r="T35" s="772" t="s">
        <v>17</v>
      </c>
      <c r="U35" s="773">
        <f t="shared" si="13"/>
        <v>100</v>
      </c>
      <c r="V35" s="772" t="s">
        <v>17</v>
      </c>
      <c r="W35" s="773">
        <f t="shared" si="14"/>
        <v>100</v>
      </c>
      <c r="X35" s="1811"/>
      <c r="Y35" s="3263"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3"/>
      <c r="Q36" s="1808" t="str">
        <f t="shared" si="11"/>
        <v>内部装修</v>
      </c>
      <c r="R36" s="772" t="s">
        <v>17</v>
      </c>
      <c r="S36" s="773">
        <f t="shared" si="12"/>
        <v>100</v>
      </c>
      <c r="T36" s="772" t="s">
        <v>17</v>
      </c>
      <c r="U36" s="773">
        <f t="shared" si="13"/>
        <v>100</v>
      </c>
      <c r="V36" s="772" t="s">
        <v>17</v>
      </c>
      <c r="W36" s="773">
        <f t="shared" si="14"/>
        <v>100</v>
      </c>
      <c r="X36" s="1811"/>
      <c r="Y36" s="3263"/>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3"/>
      <c r="Q37" s="1808" t="str">
        <f t="shared" si="11"/>
        <v>内部装修状况</v>
      </c>
      <c r="R37" s="772" t="s">
        <v>17</v>
      </c>
      <c r="S37" s="773">
        <f t="shared" si="12"/>
        <v>100</v>
      </c>
      <c r="T37" s="772" t="s">
        <v>17</v>
      </c>
      <c r="U37" s="773">
        <f t="shared" si="13"/>
        <v>100</v>
      </c>
      <c r="V37" s="772" t="s">
        <v>17</v>
      </c>
      <c r="W37" s="773">
        <f t="shared" si="14"/>
        <v>100</v>
      </c>
      <c r="X37" s="1811"/>
      <c r="Y37" s="3263"/>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3"/>
      <c r="Q38" s="774">
        <f t="shared" si="11"/>
        <v>111</v>
      </c>
      <c r="R38" s="775" t="s">
        <v>17</v>
      </c>
      <c r="S38" s="776">
        <f t="shared" si="12"/>
        <v>100</v>
      </c>
      <c r="T38" s="775" t="s">
        <v>17</v>
      </c>
      <c r="U38" s="776">
        <f t="shared" si="13"/>
        <v>100</v>
      </c>
      <c r="V38" s="775" t="s">
        <v>17</v>
      </c>
      <c r="W38" s="776">
        <f t="shared" si="14"/>
        <v>100</v>
      </c>
      <c r="X38" s="777"/>
      <c r="Y38" s="3263"/>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3"/>
      <c r="Q39" s="1808">
        <f t="shared" si="11"/>
        <v>111</v>
      </c>
      <c r="R39" s="772" t="s">
        <v>17</v>
      </c>
      <c r="S39" s="773">
        <f t="shared" si="12"/>
        <v>100</v>
      </c>
      <c r="T39" s="772" t="s">
        <v>17</v>
      </c>
      <c r="U39" s="773">
        <f t="shared" si="13"/>
        <v>100</v>
      </c>
      <c r="V39" s="772" t="s">
        <v>17</v>
      </c>
      <c r="W39" s="773">
        <f t="shared" si="14"/>
        <v>100</v>
      </c>
      <c r="X39" s="1811"/>
      <c r="Y39" s="3263"/>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4"/>
      <c r="Q40" s="1808">
        <f t="shared" si="11"/>
        <v>111</v>
      </c>
      <c r="R40" s="772" t="s">
        <v>17</v>
      </c>
      <c r="S40" s="773">
        <f t="shared" si="12"/>
        <v>100</v>
      </c>
      <c r="T40" s="772" t="s">
        <v>17</v>
      </c>
      <c r="U40" s="773">
        <f t="shared" si="13"/>
        <v>100</v>
      </c>
      <c r="V40" s="772" t="s">
        <v>17</v>
      </c>
      <c r="W40" s="773">
        <f t="shared" si="14"/>
        <v>100</v>
      </c>
      <c r="X40" s="1811"/>
      <c r="Y40" s="3264"/>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65" t="str">
        <f>A41</f>
        <v>成交单价（元/平方米）</v>
      </c>
      <c r="Q41" s="3265"/>
      <c r="R41" s="3266">
        <f>E41</f>
        <v>0</v>
      </c>
      <c r="S41" s="3266"/>
      <c r="T41" s="3266">
        <f>G41</f>
        <v>0</v>
      </c>
      <c r="U41" s="3266"/>
      <c r="V41" s="3266">
        <f>I41</f>
        <v>0</v>
      </c>
      <c r="W41" s="3266"/>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65" t="str">
        <f>A42</f>
        <v>比较价值（元/平方米）</v>
      </c>
      <c r="Q42" s="3265"/>
      <c r="R42" s="3266" t="e">
        <f>IF(F1="售价",ROUND(PRODUCT(R41,AA7:AA40),0),ROUND(PRODUCT(R41,AA7:AA40),1))</f>
        <v>#DIV/0!</v>
      </c>
      <c r="S42" s="3266"/>
      <c r="T42" s="3266" t="e">
        <f>IF(F1="售价",ROUND(PRODUCT(T41,AB7:AB40),0),ROUND(PRODUCT(T41,AB7:AB40),1))</f>
        <v>#DIV/0!</v>
      </c>
      <c r="U42" s="3266"/>
      <c r="V42" s="3266" t="e">
        <f>IF(F1="售价",ROUND(PRODUCT(V41,AC7:AC40),0),ROUND(PRODUCT(V41,AC7:AC40),1))</f>
        <v>#DIV/0!</v>
      </c>
      <c r="W42" s="3266"/>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67" t="str">
        <f>A43</f>
        <v>估价对象XX用房的比较价值（楼面单价，元/平方米）</v>
      </c>
      <c r="Q43" s="3268"/>
      <c r="R43" s="3269" t="e">
        <f>IF(F1="售价",ROUND(AVERAGE(R42:V42),0),ROUND(AVERAGE(R42:V42),1))</f>
        <v>#DIV/0!</v>
      </c>
      <c r="S43" s="3269"/>
      <c r="T43" s="3269"/>
      <c r="U43" s="3269"/>
      <c r="V43" s="3269"/>
      <c r="W43" s="3269"/>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28" t="s">
        <v>2550</v>
      </c>
      <c r="Q7" s="3255"/>
      <c r="R7" s="768" t="s">
        <v>17</v>
      </c>
      <c r="S7" s="769">
        <f t="shared" ref="S7:S14" si="0">F7</f>
        <v>0</v>
      </c>
      <c r="T7" s="768" t="s">
        <v>17</v>
      </c>
      <c r="U7" s="769">
        <f t="shared" ref="U7:U14" si="1">H7</f>
        <v>0</v>
      </c>
      <c r="V7" s="768" t="s">
        <v>17</v>
      </c>
      <c r="W7" s="769">
        <f t="shared" ref="W7:W14" si="2">J7</f>
        <v>0</v>
      </c>
      <c r="X7" s="770"/>
      <c r="Y7" s="3228" t="s">
        <v>2550</v>
      </c>
      <c r="Z7" s="3229"/>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65" t="s">
        <v>2556</v>
      </c>
      <c r="Q9" s="1793" t="str">
        <f t="shared" ref="Q9:Q14" si="6">B9</f>
        <v>用途</v>
      </c>
      <c r="R9" s="768" t="s">
        <v>17</v>
      </c>
      <c r="S9" s="769">
        <f t="shared" si="0"/>
        <v>100</v>
      </c>
      <c r="T9" s="768" t="s">
        <v>17</v>
      </c>
      <c r="U9" s="769">
        <f t="shared" si="1"/>
        <v>100</v>
      </c>
      <c r="V9" s="768" t="s">
        <v>17</v>
      </c>
      <c r="W9" s="769">
        <f t="shared" si="2"/>
        <v>100</v>
      </c>
      <c r="X9" s="770"/>
      <c r="Y9" s="3101"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65"/>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65"/>
      <c r="Q11" s="1793">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58" t="s">
        <v>2561</v>
      </c>
      <c r="Q14" s="1808" t="str">
        <f t="shared" si="6"/>
        <v>交通便捷度</v>
      </c>
      <c r="R14" s="772" t="s">
        <v>17</v>
      </c>
      <c r="S14" s="773">
        <f t="shared" si="0"/>
        <v>100</v>
      </c>
      <c r="T14" s="772" t="s">
        <v>17</v>
      </c>
      <c r="U14" s="773">
        <f t="shared" si="1"/>
        <v>100</v>
      </c>
      <c r="V14" s="772" t="s">
        <v>17</v>
      </c>
      <c r="W14" s="773">
        <f t="shared" si="2"/>
        <v>100</v>
      </c>
      <c r="X14" s="1811"/>
      <c r="Y14" s="3258"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59"/>
      <c r="Q15" s="1808"/>
      <c r="R15" s="772"/>
      <c r="S15" s="773"/>
      <c r="T15" s="772"/>
      <c r="U15" s="773"/>
      <c r="V15" s="772"/>
      <c r="W15" s="773"/>
      <c r="X15" s="1811"/>
      <c r="Y15" s="3259"/>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59"/>
      <c r="Q16" s="1808" t="str">
        <f>B16</f>
        <v>公共配套设施</v>
      </c>
      <c r="R16" s="772" t="s">
        <v>17</v>
      </c>
      <c r="S16" s="773">
        <f>F16</f>
        <v>100</v>
      </c>
      <c r="T16" s="772" t="s">
        <v>17</v>
      </c>
      <c r="U16" s="773">
        <f>H16</f>
        <v>100</v>
      </c>
      <c r="V16" s="772" t="s">
        <v>17</v>
      </c>
      <c r="W16" s="773">
        <f>J16</f>
        <v>100</v>
      </c>
      <c r="X16" s="1811"/>
      <c r="Y16" s="3259"/>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59"/>
      <c r="Q17" s="1808"/>
      <c r="R17" s="772"/>
      <c r="S17" s="773"/>
      <c r="T17" s="772"/>
      <c r="U17" s="773"/>
      <c r="V17" s="772"/>
      <c r="W17" s="773"/>
      <c r="X17" s="1811"/>
      <c r="Y17" s="3259"/>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59"/>
      <c r="Q18" s="1808" t="str">
        <f>B18</f>
        <v>基础设施水平</v>
      </c>
      <c r="R18" s="772" t="s">
        <v>17</v>
      </c>
      <c r="S18" s="773">
        <f>F18</f>
        <v>100</v>
      </c>
      <c r="T18" s="772" t="s">
        <v>17</v>
      </c>
      <c r="U18" s="773">
        <f>H18</f>
        <v>100</v>
      </c>
      <c r="V18" s="772" t="s">
        <v>17</v>
      </c>
      <c r="W18" s="773">
        <f>J18</f>
        <v>100</v>
      </c>
      <c r="X18" s="1811"/>
      <c r="Y18" s="3259"/>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59"/>
      <c r="Q19" s="1808"/>
      <c r="R19" s="772"/>
      <c r="S19" s="773"/>
      <c r="T19" s="772"/>
      <c r="U19" s="773"/>
      <c r="V19" s="772"/>
      <c r="W19" s="773"/>
      <c r="X19" s="1811"/>
      <c r="Y19" s="3259"/>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59"/>
      <c r="Q20" s="1808" t="str">
        <f>B20</f>
        <v>自然及人文环境</v>
      </c>
      <c r="R20" s="772" t="s">
        <v>17</v>
      </c>
      <c r="S20" s="773">
        <f>F20</f>
        <v>100</v>
      </c>
      <c r="T20" s="772" t="s">
        <v>17</v>
      </c>
      <c r="U20" s="773">
        <f>H20</f>
        <v>100</v>
      </c>
      <c r="V20" s="772" t="s">
        <v>17</v>
      </c>
      <c r="W20" s="773">
        <f>J20</f>
        <v>100</v>
      </c>
      <c r="X20" s="1811"/>
      <c r="Y20" s="325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59"/>
      <c r="Q21" s="1808"/>
      <c r="R21" s="772"/>
      <c r="S21" s="773"/>
      <c r="T21" s="772"/>
      <c r="U21" s="773"/>
      <c r="V21" s="772"/>
      <c r="W21" s="773"/>
      <c r="X21" s="1811"/>
      <c r="Y21" s="3259"/>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59"/>
      <c r="Q22" s="1808" t="str">
        <f>B22</f>
        <v>楼层</v>
      </c>
      <c r="R22" s="772" t="s">
        <v>17</v>
      </c>
      <c r="S22" s="773">
        <f>F22</f>
        <v>100</v>
      </c>
      <c r="T22" s="772" t="s">
        <v>17</v>
      </c>
      <c r="U22" s="773">
        <f>H22</f>
        <v>100</v>
      </c>
      <c r="V22" s="772" t="s">
        <v>17</v>
      </c>
      <c r="W22" s="773">
        <f>J22</f>
        <v>100</v>
      </c>
      <c r="X22" s="1811"/>
      <c r="Y22" s="325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59"/>
      <c r="Q23" s="1808">
        <f>B23</f>
        <v>111</v>
      </c>
      <c r="R23" s="772" t="s">
        <v>17</v>
      </c>
      <c r="S23" s="773">
        <f>F23</f>
        <v>100</v>
      </c>
      <c r="T23" s="772" t="s">
        <v>17</v>
      </c>
      <c r="U23" s="773">
        <f>H23</f>
        <v>100</v>
      </c>
      <c r="V23" s="772" t="s">
        <v>17</v>
      </c>
      <c r="W23" s="773">
        <f>J23</f>
        <v>100</v>
      </c>
      <c r="X23" s="1811"/>
      <c r="Y23" s="325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59"/>
      <c r="Q24" s="1808">
        <f t="shared" ref="Q24:Q36" si="11">B24</f>
        <v>111</v>
      </c>
      <c r="R24" s="772" t="s">
        <v>17</v>
      </c>
      <c r="S24" s="773">
        <f>F24</f>
        <v>100</v>
      </c>
      <c r="T24" s="772" t="s">
        <v>17</v>
      </c>
      <c r="U24" s="773">
        <f>H24</f>
        <v>100</v>
      </c>
      <c r="V24" s="772" t="s">
        <v>17</v>
      </c>
      <c r="W24" s="773">
        <f>J24</f>
        <v>100</v>
      </c>
      <c r="X24" s="1811"/>
      <c r="Y24" s="325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59"/>
      <c r="Q25" s="1793">
        <f t="shared" si="11"/>
        <v>111</v>
      </c>
      <c r="R25" s="768" t="s">
        <v>17</v>
      </c>
      <c r="S25" s="769">
        <f>F25</f>
        <v>100</v>
      </c>
      <c r="T25" s="768" t="s">
        <v>17</v>
      </c>
      <c r="U25" s="769">
        <f>H25</f>
        <v>100</v>
      </c>
      <c r="V25" s="768" t="s">
        <v>17</v>
      </c>
      <c r="W25" s="769">
        <f>J25</f>
        <v>100</v>
      </c>
      <c r="X25" s="770"/>
      <c r="Y25" s="3259"/>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16"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3"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3"/>
      <c r="Q27" s="774" t="str">
        <f t="shared" si="11"/>
        <v>项目停车位配比</v>
      </c>
      <c r="R27" s="775" t="s">
        <v>17</v>
      </c>
      <c r="S27" s="776">
        <f t="shared" si="12"/>
        <v>100</v>
      </c>
      <c r="T27" s="775" t="s">
        <v>17</v>
      </c>
      <c r="U27" s="776">
        <f t="shared" si="13"/>
        <v>100</v>
      </c>
      <c r="V27" s="775" t="s">
        <v>17</v>
      </c>
      <c r="W27" s="776">
        <f t="shared" si="14"/>
        <v>100</v>
      </c>
      <c r="X27" s="777"/>
      <c r="Y27" s="3263"/>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3"/>
      <c r="Q28" s="1808" t="str">
        <f t="shared" si="11"/>
        <v>公共部分装修</v>
      </c>
      <c r="R28" s="772" t="s">
        <v>17</v>
      </c>
      <c r="S28" s="773">
        <f t="shared" si="12"/>
        <v>100</v>
      </c>
      <c r="T28" s="772" t="s">
        <v>17</v>
      </c>
      <c r="U28" s="773">
        <f t="shared" si="13"/>
        <v>100</v>
      </c>
      <c r="V28" s="772" t="s">
        <v>17</v>
      </c>
      <c r="W28" s="773">
        <f t="shared" si="14"/>
        <v>100</v>
      </c>
      <c r="X28" s="1811"/>
      <c r="Y28" s="3263"/>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3"/>
      <c r="Q29" s="1808" t="str">
        <f t="shared" si="11"/>
        <v>成新率</v>
      </c>
      <c r="R29" s="772" t="s">
        <v>17</v>
      </c>
      <c r="S29" s="773" t="e">
        <f t="shared" si="12"/>
        <v>#N/A</v>
      </c>
      <c r="T29" s="772" t="s">
        <v>17</v>
      </c>
      <c r="U29" s="773" t="e">
        <f t="shared" si="13"/>
        <v>#N/A</v>
      </c>
      <c r="V29" s="772" t="s">
        <v>17</v>
      </c>
      <c r="W29" s="773" t="e">
        <f t="shared" si="14"/>
        <v>#N/A</v>
      </c>
      <c r="X29" s="1811"/>
      <c r="Y29" s="3263"/>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3"/>
      <c r="Q30" s="1808" t="str">
        <f t="shared" si="11"/>
        <v>物业等级</v>
      </c>
      <c r="R30" s="772" t="s">
        <v>17</v>
      </c>
      <c r="S30" s="773">
        <f t="shared" si="12"/>
        <v>100</v>
      </c>
      <c r="T30" s="772" t="s">
        <v>17</v>
      </c>
      <c r="U30" s="773">
        <f t="shared" si="13"/>
        <v>100</v>
      </c>
      <c r="V30" s="772" t="s">
        <v>17</v>
      </c>
      <c r="W30" s="773">
        <f t="shared" si="14"/>
        <v>100</v>
      </c>
      <c r="X30" s="1811"/>
      <c r="Y30" s="3263"/>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3"/>
      <c r="Q31" s="1793" t="str">
        <f t="shared" si="11"/>
        <v>停车位面积</v>
      </c>
      <c r="R31" s="768" t="s">
        <v>17</v>
      </c>
      <c r="S31" s="769" t="e">
        <f t="shared" si="12"/>
        <v>#N/A</v>
      </c>
      <c r="T31" s="768" t="s">
        <v>17</v>
      </c>
      <c r="U31" s="769" t="e">
        <f t="shared" si="13"/>
        <v>#N/A</v>
      </c>
      <c r="V31" s="768" t="s">
        <v>17</v>
      </c>
      <c r="W31" s="769" t="e">
        <f t="shared" si="14"/>
        <v>#N/A</v>
      </c>
      <c r="X31" s="770"/>
      <c r="Y31" s="3263"/>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3" t="s">
        <v>2566</v>
      </c>
      <c r="Q32" s="1808" t="str">
        <f t="shared" si="11"/>
        <v>车位类型</v>
      </c>
      <c r="R32" s="772" t="s">
        <v>17</v>
      </c>
      <c r="S32" s="773">
        <f t="shared" si="12"/>
        <v>100</v>
      </c>
      <c r="T32" s="772" t="s">
        <v>17</v>
      </c>
      <c r="U32" s="773">
        <f t="shared" si="13"/>
        <v>100</v>
      </c>
      <c r="V32" s="772" t="s">
        <v>17</v>
      </c>
      <c r="W32" s="773">
        <f t="shared" si="14"/>
        <v>100</v>
      </c>
      <c r="X32" s="1811"/>
      <c r="Y32" s="3263"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3"/>
      <c r="Q33" s="1808" t="str">
        <f t="shared" si="11"/>
        <v>是否直接入户</v>
      </c>
      <c r="R33" s="772" t="s">
        <v>17</v>
      </c>
      <c r="S33" s="773">
        <f t="shared" si="12"/>
        <v>100</v>
      </c>
      <c r="T33" s="772" t="s">
        <v>17</v>
      </c>
      <c r="U33" s="773">
        <f t="shared" si="13"/>
        <v>100</v>
      </c>
      <c r="V33" s="772" t="s">
        <v>17</v>
      </c>
      <c r="W33" s="773">
        <f t="shared" si="14"/>
        <v>100</v>
      </c>
      <c r="X33" s="1811"/>
      <c r="Y33" s="326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3"/>
      <c r="Q34" s="1808">
        <f t="shared" si="11"/>
        <v>111</v>
      </c>
      <c r="R34" s="772" t="s">
        <v>17</v>
      </c>
      <c r="S34" s="773">
        <f t="shared" si="12"/>
        <v>100</v>
      </c>
      <c r="T34" s="772" t="s">
        <v>17</v>
      </c>
      <c r="U34" s="773">
        <f t="shared" si="13"/>
        <v>100</v>
      </c>
      <c r="V34" s="772" t="s">
        <v>17</v>
      </c>
      <c r="W34" s="773">
        <f t="shared" si="14"/>
        <v>100</v>
      </c>
      <c r="X34" s="1811"/>
      <c r="Y34" s="326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3"/>
      <c r="Q35" s="774">
        <f t="shared" si="11"/>
        <v>111</v>
      </c>
      <c r="R35" s="775" t="s">
        <v>17</v>
      </c>
      <c r="S35" s="776">
        <f t="shared" si="12"/>
        <v>100</v>
      </c>
      <c r="T35" s="775" t="s">
        <v>17</v>
      </c>
      <c r="U35" s="776">
        <f t="shared" si="13"/>
        <v>100</v>
      </c>
      <c r="V35" s="775" t="s">
        <v>17</v>
      </c>
      <c r="W35" s="776">
        <f t="shared" si="14"/>
        <v>100</v>
      </c>
      <c r="X35" s="777"/>
      <c r="Y35" s="3263"/>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3"/>
      <c r="Q36" s="1808">
        <f t="shared" si="11"/>
        <v>111</v>
      </c>
      <c r="R36" s="772" t="s">
        <v>17</v>
      </c>
      <c r="S36" s="773">
        <f t="shared" si="12"/>
        <v>100</v>
      </c>
      <c r="T36" s="772" t="s">
        <v>17</v>
      </c>
      <c r="U36" s="773">
        <f t="shared" si="13"/>
        <v>100</v>
      </c>
      <c r="V36" s="772" t="s">
        <v>17</v>
      </c>
      <c r="W36" s="773">
        <f t="shared" si="14"/>
        <v>100</v>
      </c>
      <c r="X36" s="1811"/>
      <c r="Y36" s="3263"/>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65" t="str">
        <f>A37</f>
        <v>成交单价</v>
      </c>
      <c r="Q37" s="3265"/>
      <c r="R37" s="3266">
        <f>E37</f>
        <v>0</v>
      </c>
      <c r="S37" s="3266"/>
      <c r="T37" s="3266">
        <f>G37</f>
        <v>0</v>
      </c>
      <c r="U37" s="3266"/>
      <c r="V37" s="3266">
        <f>I37</f>
        <v>0</v>
      </c>
      <c r="W37" s="3266"/>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65" t="str">
        <f>A38</f>
        <v>比较价值（元/平方米）</v>
      </c>
      <c r="Q38" s="3265"/>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67" t="str">
        <f>A39</f>
        <v>估价对象XX用房的比较价值（楼面单价，元/平方米）</v>
      </c>
      <c r="Q39" s="3268"/>
      <c r="R39" s="3269" t="e">
        <f>IF(F1="售价",ROUND(AVERAGE(R38:V38),0),ROUND(AVERAGE(R38:V38),1))</f>
        <v>#DIV/0!</v>
      </c>
      <c r="S39" s="3269"/>
      <c r="T39" s="3269"/>
      <c r="U39" s="3269"/>
      <c r="V39" s="3269"/>
      <c r="W39" s="3269"/>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28" t="s">
        <v>2550</v>
      </c>
      <c r="Q7" s="3255"/>
      <c r="R7" s="768" t="s">
        <v>17</v>
      </c>
      <c r="S7" s="769">
        <f t="shared" ref="S7:S14" si="0">F7</f>
        <v>0</v>
      </c>
      <c r="T7" s="768" t="s">
        <v>17</v>
      </c>
      <c r="U7" s="769">
        <f t="shared" ref="U7:U14" si="1">H7</f>
        <v>0</v>
      </c>
      <c r="V7" s="768" t="s">
        <v>17</v>
      </c>
      <c r="W7" s="769">
        <f t="shared" ref="W7:W14" si="2">J7</f>
        <v>0</v>
      </c>
      <c r="X7" s="770"/>
      <c r="Y7" s="3228" t="s">
        <v>2550</v>
      </c>
      <c r="Z7" s="3229"/>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65" t="s">
        <v>2556</v>
      </c>
      <c r="Q9" s="1793" t="str">
        <f t="shared" ref="Q9:Q14" si="6">B9</f>
        <v>用途</v>
      </c>
      <c r="R9" s="768" t="s">
        <v>17</v>
      </c>
      <c r="S9" s="769">
        <f t="shared" si="0"/>
        <v>100</v>
      </c>
      <c r="T9" s="768" t="s">
        <v>17</v>
      </c>
      <c r="U9" s="769">
        <f t="shared" si="1"/>
        <v>100</v>
      </c>
      <c r="V9" s="768" t="s">
        <v>17</v>
      </c>
      <c r="W9" s="769">
        <f t="shared" si="2"/>
        <v>100</v>
      </c>
      <c r="X9" s="770"/>
      <c r="Y9" s="3101"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65"/>
      <c r="Q10" s="1793" t="str">
        <f t="shared" si="6"/>
        <v>土地使用年限（年）</v>
      </c>
      <c r="R10" s="768" t="s">
        <v>17</v>
      </c>
      <c r="S10" s="769">
        <f t="shared" si="0"/>
        <v>100</v>
      </c>
      <c r="T10" s="768" t="s">
        <v>17</v>
      </c>
      <c r="U10" s="769">
        <f t="shared" si="1"/>
        <v>100</v>
      </c>
      <c r="V10" s="768" t="s">
        <v>17</v>
      </c>
      <c r="W10" s="769">
        <f t="shared" si="2"/>
        <v>100</v>
      </c>
      <c r="X10" s="770"/>
      <c r="Y10" s="3101"/>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65"/>
      <c r="Q11" s="1793">
        <f t="shared" si="6"/>
        <v>111</v>
      </c>
      <c r="R11" s="768" t="s">
        <v>17</v>
      </c>
      <c r="S11" s="769">
        <f t="shared" si="0"/>
        <v>100</v>
      </c>
      <c r="T11" s="768" t="s">
        <v>17</v>
      </c>
      <c r="U11" s="769">
        <f t="shared" si="1"/>
        <v>100</v>
      </c>
      <c r="V11" s="768" t="s">
        <v>17</v>
      </c>
      <c r="W11" s="769">
        <f t="shared" si="2"/>
        <v>100</v>
      </c>
      <c r="X11" s="770"/>
      <c r="Y11" s="3101"/>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58" t="s">
        <v>2561</v>
      </c>
      <c r="Q14" s="1808" t="str">
        <f t="shared" si="6"/>
        <v>交通便捷度</v>
      </c>
      <c r="R14" s="772" t="s">
        <v>17</v>
      </c>
      <c r="S14" s="773">
        <f t="shared" si="0"/>
        <v>100</v>
      </c>
      <c r="T14" s="772" t="s">
        <v>17</v>
      </c>
      <c r="U14" s="773">
        <f t="shared" si="1"/>
        <v>100</v>
      </c>
      <c r="V14" s="772" t="s">
        <v>17</v>
      </c>
      <c r="W14" s="773">
        <f t="shared" si="2"/>
        <v>100</v>
      </c>
      <c r="X14" s="1811"/>
      <c r="Y14" s="3258"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59"/>
      <c r="Q15" s="1808"/>
      <c r="R15" s="772"/>
      <c r="S15" s="773"/>
      <c r="T15" s="772"/>
      <c r="U15" s="773"/>
      <c r="V15" s="772"/>
      <c r="W15" s="773"/>
      <c r="X15" s="1811"/>
      <c r="Y15" s="3259"/>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59"/>
      <c r="Q16" s="1808" t="str">
        <f>B16</f>
        <v>公共配套设施</v>
      </c>
      <c r="R16" s="772" t="s">
        <v>17</v>
      </c>
      <c r="S16" s="773">
        <f>F16</f>
        <v>100</v>
      </c>
      <c r="T16" s="772" t="s">
        <v>17</v>
      </c>
      <c r="U16" s="773">
        <f>H16</f>
        <v>100</v>
      </c>
      <c r="V16" s="772" t="s">
        <v>17</v>
      </c>
      <c r="W16" s="773">
        <f>J16</f>
        <v>100</v>
      </c>
      <c r="X16" s="1811"/>
      <c r="Y16" s="3259"/>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59"/>
      <c r="Q17" s="1808"/>
      <c r="R17" s="772"/>
      <c r="S17" s="773"/>
      <c r="T17" s="772"/>
      <c r="U17" s="773"/>
      <c r="V17" s="772"/>
      <c r="W17" s="773"/>
      <c r="X17" s="1811"/>
      <c r="Y17" s="3259"/>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59"/>
      <c r="Q18" s="1808" t="str">
        <f>B18</f>
        <v>基础设施水平</v>
      </c>
      <c r="R18" s="772" t="s">
        <v>17</v>
      </c>
      <c r="S18" s="773">
        <f>F18</f>
        <v>100</v>
      </c>
      <c r="T18" s="772" t="s">
        <v>17</v>
      </c>
      <c r="U18" s="773">
        <f>H18</f>
        <v>100</v>
      </c>
      <c r="V18" s="772" t="s">
        <v>17</v>
      </c>
      <c r="W18" s="773">
        <f>J18</f>
        <v>100</v>
      </c>
      <c r="X18" s="1811"/>
      <c r="Y18" s="3259"/>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59"/>
      <c r="Q19" s="1808"/>
      <c r="R19" s="772"/>
      <c r="S19" s="773"/>
      <c r="T19" s="772"/>
      <c r="U19" s="773"/>
      <c r="V19" s="772"/>
      <c r="W19" s="773"/>
      <c r="X19" s="1811"/>
      <c r="Y19" s="3259"/>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59"/>
      <c r="Q20" s="1808" t="str">
        <f>B20</f>
        <v>自然及人文环境</v>
      </c>
      <c r="R20" s="772" t="s">
        <v>17</v>
      </c>
      <c r="S20" s="773">
        <f>F20</f>
        <v>100</v>
      </c>
      <c r="T20" s="772" t="s">
        <v>17</v>
      </c>
      <c r="U20" s="773">
        <f>H20</f>
        <v>100</v>
      </c>
      <c r="V20" s="772" t="s">
        <v>17</v>
      </c>
      <c r="W20" s="773">
        <f>J20</f>
        <v>100</v>
      </c>
      <c r="X20" s="1811"/>
      <c r="Y20" s="325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59"/>
      <c r="Q21" s="1808"/>
      <c r="R21" s="772"/>
      <c r="S21" s="773"/>
      <c r="T21" s="772"/>
      <c r="U21" s="773"/>
      <c r="V21" s="772"/>
      <c r="W21" s="773"/>
      <c r="X21" s="1811"/>
      <c r="Y21" s="3259"/>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59"/>
      <c r="Q22" s="1808" t="str">
        <f>B22</f>
        <v>楼层</v>
      </c>
      <c r="R22" s="772" t="s">
        <v>17</v>
      </c>
      <c r="S22" s="773">
        <f>F22</f>
        <v>100</v>
      </c>
      <c r="T22" s="772" t="s">
        <v>17</v>
      </c>
      <c r="U22" s="773">
        <f>H22</f>
        <v>100</v>
      </c>
      <c r="V22" s="772" t="s">
        <v>17</v>
      </c>
      <c r="W22" s="773">
        <f>J22</f>
        <v>100</v>
      </c>
      <c r="X22" s="1811"/>
      <c r="Y22" s="3259"/>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59"/>
      <c r="Q23" s="1808">
        <f>B23</f>
        <v>111</v>
      </c>
      <c r="R23" s="772" t="s">
        <v>17</v>
      </c>
      <c r="S23" s="773">
        <f>F23</f>
        <v>100</v>
      </c>
      <c r="T23" s="772" t="s">
        <v>17</v>
      </c>
      <c r="U23" s="773">
        <f>H23</f>
        <v>100</v>
      </c>
      <c r="V23" s="772" t="s">
        <v>17</v>
      </c>
      <c r="W23" s="773">
        <f>J23</f>
        <v>100</v>
      </c>
      <c r="X23" s="1811"/>
      <c r="Y23" s="3259"/>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59"/>
      <c r="Q24" s="1808">
        <f t="shared" ref="Q24:Q34" si="11">B24</f>
        <v>111</v>
      </c>
      <c r="R24" s="772" t="s">
        <v>17</v>
      </c>
      <c r="S24" s="773">
        <f>F24</f>
        <v>100</v>
      </c>
      <c r="T24" s="772" t="s">
        <v>17</v>
      </c>
      <c r="U24" s="773">
        <f>H24</f>
        <v>100</v>
      </c>
      <c r="V24" s="772" t="s">
        <v>17</v>
      </c>
      <c r="W24" s="773">
        <f>J24</f>
        <v>100</v>
      </c>
      <c r="X24" s="1811"/>
      <c r="Y24" s="3259"/>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59"/>
      <c r="Q25" s="1793">
        <f t="shared" si="11"/>
        <v>111</v>
      </c>
      <c r="R25" s="768" t="s">
        <v>17</v>
      </c>
      <c r="S25" s="769">
        <f>F25</f>
        <v>100</v>
      </c>
      <c r="T25" s="768" t="s">
        <v>17</v>
      </c>
      <c r="U25" s="769">
        <f>H25</f>
        <v>100</v>
      </c>
      <c r="V25" s="768" t="s">
        <v>17</v>
      </c>
      <c r="W25" s="769">
        <f>J25</f>
        <v>100</v>
      </c>
      <c r="X25" s="770"/>
      <c r="Y25" s="3259"/>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16"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3"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3"/>
      <c r="Q27" s="774" t="str">
        <f t="shared" si="11"/>
        <v>成新率</v>
      </c>
      <c r="R27" s="775" t="s">
        <v>17</v>
      </c>
      <c r="S27" s="776" t="e">
        <f t="shared" si="12"/>
        <v>#N/A</v>
      </c>
      <c r="T27" s="775" t="s">
        <v>17</v>
      </c>
      <c r="U27" s="776" t="e">
        <f t="shared" si="13"/>
        <v>#N/A</v>
      </c>
      <c r="V27" s="775" t="s">
        <v>17</v>
      </c>
      <c r="W27" s="776" t="e">
        <f t="shared" si="14"/>
        <v>#N/A</v>
      </c>
      <c r="X27" s="777"/>
      <c r="Y27" s="3263"/>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3"/>
      <c r="Q28" s="1808" t="str">
        <f t="shared" si="11"/>
        <v>物业等级</v>
      </c>
      <c r="R28" s="772" t="s">
        <v>17</v>
      </c>
      <c r="S28" s="773">
        <f t="shared" si="12"/>
        <v>100</v>
      </c>
      <c r="T28" s="772" t="s">
        <v>17</v>
      </c>
      <c r="U28" s="773">
        <f t="shared" si="13"/>
        <v>100</v>
      </c>
      <c r="V28" s="772" t="s">
        <v>17</v>
      </c>
      <c r="W28" s="773">
        <f t="shared" si="14"/>
        <v>100</v>
      </c>
      <c r="X28" s="1811"/>
      <c r="Y28" s="3263"/>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3"/>
      <c r="Q29" s="1808" t="str">
        <f t="shared" si="11"/>
        <v>有无电梯</v>
      </c>
      <c r="R29" s="772" t="s">
        <v>17</v>
      </c>
      <c r="S29" s="773">
        <f t="shared" si="12"/>
        <v>100</v>
      </c>
      <c r="T29" s="772" t="s">
        <v>17</v>
      </c>
      <c r="U29" s="773">
        <f t="shared" si="13"/>
        <v>100</v>
      </c>
      <c r="V29" s="772" t="s">
        <v>17</v>
      </c>
      <c r="W29" s="773">
        <f t="shared" si="14"/>
        <v>100</v>
      </c>
      <c r="X29" s="1811"/>
      <c r="Y29" s="3263"/>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3"/>
      <c r="Q30" s="1808" t="str">
        <f t="shared" si="11"/>
        <v>建筑面积</v>
      </c>
      <c r="R30" s="772" t="s">
        <v>17</v>
      </c>
      <c r="S30" s="773" t="e">
        <f t="shared" si="12"/>
        <v>#N/A</v>
      </c>
      <c r="T30" s="772" t="s">
        <v>17</v>
      </c>
      <c r="U30" s="773" t="e">
        <f t="shared" si="13"/>
        <v>#N/A</v>
      </c>
      <c r="V30" s="772" t="s">
        <v>17</v>
      </c>
      <c r="W30" s="773" t="e">
        <f t="shared" si="14"/>
        <v>#N/A</v>
      </c>
      <c r="X30" s="1811"/>
      <c r="Y30" s="3263"/>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3"/>
      <c r="Q31" s="1793" t="str">
        <f t="shared" si="11"/>
        <v>是否封闭</v>
      </c>
      <c r="R31" s="768" t="s">
        <v>17</v>
      </c>
      <c r="S31" s="769">
        <f t="shared" si="12"/>
        <v>100</v>
      </c>
      <c r="T31" s="768" t="s">
        <v>17</v>
      </c>
      <c r="U31" s="769">
        <f t="shared" si="13"/>
        <v>100</v>
      </c>
      <c r="V31" s="768" t="s">
        <v>17</v>
      </c>
      <c r="W31" s="769">
        <f t="shared" si="14"/>
        <v>100</v>
      </c>
      <c r="X31" s="770"/>
      <c r="Y31" s="3263"/>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3" t="s">
        <v>2566</v>
      </c>
      <c r="Q32" s="1808">
        <f t="shared" si="11"/>
        <v>111</v>
      </c>
      <c r="R32" s="772" t="s">
        <v>17</v>
      </c>
      <c r="S32" s="773">
        <f t="shared" si="12"/>
        <v>100</v>
      </c>
      <c r="T32" s="772" t="s">
        <v>17</v>
      </c>
      <c r="U32" s="773">
        <f t="shared" si="13"/>
        <v>100</v>
      </c>
      <c r="V32" s="772" t="s">
        <v>17</v>
      </c>
      <c r="W32" s="773">
        <f t="shared" si="14"/>
        <v>100</v>
      </c>
      <c r="X32" s="1811"/>
      <c r="Y32" s="3263"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3"/>
      <c r="Q33" s="1808">
        <f t="shared" si="11"/>
        <v>111</v>
      </c>
      <c r="R33" s="772" t="s">
        <v>17</v>
      </c>
      <c r="S33" s="773">
        <f t="shared" si="12"/>
        <v>100</v>
      </c>
      <c r="T33" s="772" t="s">
        <v>17</v>
      </c>
      <c r="U33" s="773">
        <f t="shared" si="13"/>
        <v>100</v>
      </c>
      <c r="V33" s="772" t="s">
        <v>17</v>
      </c>
      <c r="W33" s="773">
        <f t="shared" si="14"/>
        <v>100</v>
      </c>
      <c r="X33" s="1811"/>
      <c r="Y33" s="3263"/>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63"/>
      <c r="Q34" s="1808">
        <f t="shared" si="11"/>
        <v>111</v>
      </c>
      <c r="R34" s="772" t="s">
        <v>17</v>
      </c>
      <c r="S34" s="773">
        <f t="shared" si="12"/>
        <v>100</v>
      </c>
      <c r="T34" s="772" t="s">
        <v>17</v>
      </c>
      <c r="U34" s="773">
        <f t="shared" si="13"/>
        <v>100</v>
      </c>
      <c r="V34" s="772" t="s">
        <v>17</v>
      </c>
      <c r="W34" s="773">
        <f t="shared" si="14"/>
        <v>100</v>
      </c>
      <c r="X34" s="1811"/>
      <c r="Y34" s="3263"/>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65" t="str">
        <f>A35</f>
        <v>成交单价（元/平方米）</v>
      </c>
      <c r="Q35" s="3265"/>
      <c r="R35" s="3266">
        <f>E35</f>
        <v>0</v>
      </c>
      <c r="S35" s="3266"/>
      <c r="T35" s="3266">
        <f>G35</f>
        <v>0</v>
      </c>
      <c r="U35" s="3266"/>
      <c r="V35" s="3266">
        <f>I35</f>
        <v>0</v>
      </c>
      <c r="W35" s="3266"/>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65" t="str">
        <f>A36</f>
        <v>比较价值（元/平方米）</v>
      </c>
      <c r="Q36" s="3265"/>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67" t="str">
        <f>A37</f>
        <v>估价对象XX用房的比较价值（楼面单价，元/平方米）</v>
      </c>
      <c r="Q37" s="3268"/>
      <c r="R37" s="3269" t="e">
        <f>IF(F1="售价",ROUND(AVERAGE(R36:V36),0),ROUND(AVERAGE(R36:V36),1))</f>
        <v>#DIV/0!</v>
      </c>
      <c r="S37" s="3269"/>
      <c r="T37" s="3269"/>
      <c r="U37" s="3269"/>
      <c r="V37" s="3269"/>
      <c r="W37" s="3269"/>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30"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30" ht="15.75" thickBot="1">
      <c r="A6" s="406"/>
      <c r="B6" s="407"/>
      <c r="C6" s="3238" t="s">
        <v>2547</v>
      </c>
      <c r="D6" s="3239"/>
      <c r="E6" s="3240" t="s">
        <v>2547</v>
      </c>
      <c r="F6" s="3241"/>
      <c r="G6" s="3238" t="s">
        <v>2547</v>
      </c>
      <c r="H6" s="3239"/>
      <c r="I6" s="3238" t="s">
        <v>2547</v>
      </c>
      <c r="J6" s="3239"/>
      <c r="K6" s="610" t="s">
        <v>2548</v>
      </c>
      <c r="L6" s="1131"/>
      <c r="M6" s="1132"/>
      <c r="N6" s="1132"/>
      <c r="O6" s="1132"/>
      <c r="P6" s="3251"/>
      <c r="Q6" s="3252"/>
      <c r="R6" s="3232"/>
      <c r="S6" s="3233"/>
      <c r="T6" s="3253"/>
      <c r="U6" s="3254"/>
      <c r="V6" s="3227"/>
      <c r="W6" s="3227"/>
      <c r="X6" s="1811"/>
      <c r="Y6" s="3253"/>
      <c r="Z6" s="3254"/>
      <c r="AA6" s="3226"/>
      <c r="AB6" s="3226"/>
      <c r="AC6" s="3226"/>
    </row>
    <row r="7" spans="1:30" s="117" customFormat="1" ht="15.75" thickBot="1">
      <c r="A7" s="408" t="s">
        <v>2549</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28" t="s">
        <v>2550</v>
      </c>
      <c r="Q7" s="3255"/>
      <c r="R7" s="768" t="s">
        <v>17</v>
      </c>
      <c r="S7" s="769">
        <f t="shared" ref="S7:S15" si="0">F7</f>
        <v>0</v>
      </c>
      <c r="T7" s="768" t="s">
        <v>17</v>
      </c>
      <c r="U7" s="769">
        <f t="shared" ref="U7:U15" si="1">H7</f>
        <v>0</v>
      </c>
      <c r="V7" s="768" t="s">
        <v>17</v>
      </c>
      <c r="W7" s="769">
        <f t="shared" ref="W7:W15" si="2">J7</f>
        <v>0</v>
      </c>
      <c r="X7" s="770"/>
      <c r="Y7" s="3228" t="s">
        <v>2550</v>
      </c>
      <c r="Z7" s="3229"/>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65"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65"/>
      <c r="Q10" s="1793" t="str">
        <f t="shared" si="6"/>
        <v>土地使用年限（年）</v>
      </c>
      <c r="R10" s="768" t="s">
        <v>17</v>
      </c>
      <c r="S10" s="769">
        <f t="shared" si="0"/>
        <v>104</v>
      </c>
      <c r="T10" s="768" t="s">
        <v>17</v>
      </c>
      <c r="U10" s="769">
        <f t="shared" si="1"/>
        <v>104</v>
      </c>
      <c r="V10" s="768" t="s">
        <v>17</v>
      </c>
      <c r="W10" s="769">
        <f t="shared" si="2"/>
        <v>104</v>
      </c>
      <c r="X10" s="770"/>
      <c r="Y10" s="3101"/>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65"/>
      <c r="Q11" s="1793"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65"/>
      <c r="Q12" s="1793" t="str">
        <f t="shared" si="6"/>
        <v>配建</v>
      </c>
      <c r="R12" s="768" t="s">
        <v>17</v>
      </c>
      <c r="S12" s="769">
        <f t="shared" si="0"/>
        <v>100</v>
      </c>
      <c r="T12" s="768" t="s">
        <v>17</v>
      </c>
      <c r="U12" s="769">
        <f t="shared" si="1"/>
        <v>100</v>
      </c>
      <c r="V12" s="768" t="s">
        <v>17</v>
      </c>
      <c r="W12" s="769">
        <f t="shared" si="2"/>
        <v>100</v>
      </c>
      <c r="X12" s="770"/>
      <c r="Y12" s="3101"/>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65"/>
      <c r="Q14" s="1793">
        <f t="shared" si="6"/>
        <v>111</v>
      </c>
      <c r="R14" s="768" t="s">
        <v>17</v>
      </c>
      <c r="S14" s="769">
        <f t="shared" si="0"/>
        <v>100</v>
      </c>
      <c r="T14" s="768" t="s">
        <v>17</v>
      </c>
      <c r="U14" s="769">
        <f t="shared" si="1"/>
        <v>100</v>
      </c>
      <c r="V14" s="768" t="s">
        <v>17</v>
      </c>
      <c r="W14" s="769">
        <f t="shared" si="2"/>
        <v>100</v>
      </c>
      <c r="X14" s="770"/>
      <c r="Y14" s="3101"/>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58" t="s">
        <v>2561</v>
      </c>
      <c r="Q15" s="1808" t="str">
        <f t="shared" si="6"/>
        <v>居住社区成熟度</v>
      </c>
      <c r="R15" s="772" t="s">
        <v>17</v>
      </c>
      <c r="S15" s="773">
        <f t="shared" si="0"/>
        <v>100</v>
      </c>
      <c r="T15" s="772" t="s">
        <v>17</v>
      </c>
      <c r="U15" s="773">
        <f t="shared" si="1"/>
        <v>100</v>
      </c>
      <c r="V15" s="772" t="s">
        <v>17</v>
      </c>
      <c r="W15" s="773">
        <f t="shared" si="2"/>
        <v>100</v>
      </c>
      <c r="X15" s="1811"/>
      <c r="Y15" s="3258"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59"/>
      <c r="Q16" s="1808"/>
      <c r="R16" s="772"/>
      <c r="S16" s="773"/>
      <c r="T16" s="772"/>
      <c r="U16" s="773"/>
      <c r="V16" s="772"/>
      <c r="W16" s="773"/>
      <c r="X16" s="1811"/>
      <c r="Y16" s="3259"/>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59"/>
      <c r="Q17" s="1808" t="str">
        <f>B17</f>
        <v>商业繁华度</v>
      </c>
      <c r="R17" s="772" t="s">
        <v>17</v>
      </c>
      <c r="S17" s="773">
        <f>F17</f>
        <v>100</v>
      </c>
      <c r="T17" s="772" t="s">
        <v>17</v>
      </c>
      <c r="U17" s="773">
        <f>H17</f>
        <v>100</v>
      </c>
      <c r="V17" s="772" t="s">
        <v>17</v>
      </c>
      <c r="W17" s="773">
        <f>J17</f>
        <v>100</v>
      </c>
      <c r="X17" s="1811"/>
      <c r="Y17" s="3259"/>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59"/>
      <c r="Q18" s="1808"/>
      <c r="R18" s="772"/>
      <c r="S18" s="773"/>
      <c r="T18" s="772"/>
      <c r="U18" s="773"/>
      <c r="V18" s="772"/>
      <c r="W18" s="773"/>
      <c r="X18" s="1811"/>
      <c r="Y18" s="3259"/>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59"/>
      <c r="Q19" s="1808" t="str">
        <f>B19</f>
        <v>办公集聚程度</v>
      </c>
      <c r="R19" s="772" t="s">
        <v>17</v>
      </c>
      <c r="S19" s="773">
        <f>F19</f>
        <v>100</v>
      </c>
      <c r="T19" s="772" t="s">
        <v>17</v>
      </c>
      <c r="U19" s="773">
        <f>H19</f>
        <v>100</v>
      </c>
      <c r="V19" s="772" t="s">
        <v>17</v>
      </c>
      <c r="W19" s="773">
        <f>J19</f>
        <v>100</v>
      </c>
      <c r="X19" s="1811"/>
      <c r="Y19" s="3259"/>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59"/>
      <c r="Q20" s="1808"/>
      <c r="R20" s="772"/>
      <c r="S20" s="773"/>
      <c r="T20" s="772"/>
      <c r="U20" s="773"/>
      <c r="V20" s="772"/>
      <c r="W20" s="773"/>
      <c r="X20" s="1811"/>
      <c r="Y20" s="3259"/>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59"/>
      <c r="Q21" s="1808" t="str">
        <f>B21</f>
        <v>交通便捷度</v>
      </c>
      <c r="R21" s="772" t="s">
        <v>17</v>
      </c>
      <c r="S21" s="773">
        <f>F21</f>
        <v>100</v>
      </c>
      <c r="T21" s="772" t="s">
        <v>17</v>
      </c>
      <c r="U21" s="773">
        <f>H21</f>
        <v>100</v>
      </c>
      <c r="V21" s="772" t="s">
        <v>17</v>
      </c>
      <c r="W21" s="773">
        <f>J21</f>
        <v>100</v>
      </c>
      <c r="X21" s="1811"/>
      <c r="Y21" s="3259"/>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59"/>
      <c r="Q22" s="1808"/>
      <c r="R22" s="772"/>
      <c r="S22" s="773"/>
      <c r="T22" s="772"/>
      <c r="U22" s="773"/>
      <c r="V22" s="772"/>
      <c r="W22" s="773"/>
      <c r="X22" s="1811"/>
      <c r="Y22" s="3259"/>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59"/>
      <c r="Q23" s="1808" t="str">
        <f t="shared" ref="Q23:Q37" si="8">B23</f>
        <v>区域土地利用方向</v>
      </c>
      <c r="R23" s="772" t="s">
        <v>17</v>
      </c>
      <c r="S23" s="773">
        <f>F23</f>
        <v>100</v>
      </c>
      <c r="T23" s="772" t="s">
        <v>17</v>
      </c>
      <c r="U23" s="773">
        <f>H23</f>
        <v>100</v>
      </c>
      <c r="V23" s="772" t="s">
        <v>17</v>
      </c>
      <c r="W23" s="773">
        <f>J23</f>
        <v>100</v>
      </c>
      <c r="X23" s="1811"/>
      <c r="Y23" s="3259"/>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59"/>
      <c r="Q24" s="1808"/>
      <c r="R24" s="772"/>
      <c r="S24" s="773"/>
      <c r="T24" s="772"/>
      <c r="U24" s="773"/>
      <c r="V24" s="772"/>
      <c r="W24" s="773"/>
      <c r="X24" s="1811"/>
      <c r="Y24" s="3259"/>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59"/>
      <c r="Q25" s="1808" t="str">
        <f t="shared" si="8"/>
        <v>自然及人文环境状况</v>
      </c>
      <c r="R25" s="772" t="s">
        <v>17</v>
      </c>
      <c r="S25" s="773">
        <f>F25</f>
        <v>100</v>
      </c>
      <c r="T25" s="772" t="s">
        <v>17</v>
      </c>
      <c r="U25" s="773">
        <f>H25</f>
        <v>100</v>
      </c>
      <c r="V25" s="772" t="s">
        <v>17</v>
      </c>
      <c r="W25" s="773">
        <f>J25</f>
        <v>100</v>
      </c>
      <c r="X25" s="1811"/>
      <c r="Y25" s="3259"/>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59"/>
      <c r="Q26" s="1808"/>
      <c r="R26" s="772"/>
      <c r="S26" s="773"/>
      <c r="T26" s="772"/>
      <c r="U26" s="773"/>
      <c r="V26" s="772"/>
      <c r="W26" s="773"/>
      <c r="X26" s="1811"/>
      <c r="Y26" s="3259"/>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59"/>
      <c r="Q27" s="1793" t="str">
        <f t="shared" si="8"/>
        <v>公共配套设施</v>
      </c>
      <c r="R27" s="768" t="s">
        <v>17</v>
      </c>
      <c r="S27" s="769">
        <f>F27</f>
        <v>100</v>
      </c>
      <c r="T27" s="768" t="s">
        <v>17</v>
      </c>
      <c r="U27" s="769">
        <f>H27</f>
        <v>100</v>
      </c>
      <c r="V27" s="768" t="s">
        <v>17</v>
      </c>
      <c r="W27" s="769">
        <f>J27</f>
        <v>100</v>
      </c>
      <c r="X27" s="770"/>
      <c r="Y27" s="3259"/>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59"/>
      <c r="Q28" s="1793"/>
      <c r="R28" s="768"/>
      <c r="S28" s="769"/>
      <c r="T28" s="768"/>
      <c r="U28" s="769"/>
      <c r="V28" s="768"/>
      <c r="W28" s="769"/>
      <c r="X28" s="770"/>
      <c r="Y28" s="3259"/>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59"/>
      <c r="Q29" s="1793" t="str">
        <f t="shared" ref="Q29" si="9">B29</f>
        <v>基础设施水平</v>
      </c>
      <c r="R29" s="768" t="s">
        <v>17</v>
      </c>
      <c r="S29" s="769">
        <f>F29</f>
        <v>100</v>
      </c>
      <c r="T29" s="768" t="s">
        <v>17</v>
      </c>
      <c r="U29" s="769">
        <f>H29</f>
        <v>100</v>
      </c>
      <c r="V29" s="768" t="s">
        <v>17</v>
      </c>
      <c r="W29" s="769">
        <f>J29</f>
        <v>100</v>
      </c>
      <c r="X29" s="770"/>
      <c r="Y29" s="3259"/>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59"/>
      <c r="Q30" s="1793"/>
      <c r="R30" s="768"/>
      <c r="S30" s="769"/>
      <c r="T30" s="768"/>
      <c r="U30" s="769"/>
      <c r="V30" s="768"/>
      <c r="W30" s="769"/>
      <c r="X30" s="770"/>
      <c r="Y30" s="3259"/>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5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59"/>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59"/>
      <c r="Q32" s="1808" t="str">
        <f t="shared" si="8"/>
        <v>毗邻道路的类型与等级</v>
      </c>
      <c r="R32" s="772" t="s">
        <v>17</v>
      </c>
      <c r="S32" s="773">
        <f t="shared" si="10"/>
        <v>100</v>
      </c>
      <c r="T32" s="772" t="s">
        <v>17</v>
      </c>
      <c r="U32" s="773">
        <f t="shared" si="11"/>
        <v>100</v>
      </c>
      <c r="V32" s="772" t="s">
        <v>17</v>
      </c>
      <c r="W32" s="773">
        <f t="shared" si="12"/>
        <v>100</v>
      </c>
      <c r="X32" s="1811"/>
      <c r="Y32" s="3259"/>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59"/>
      <c r="Q33" s="1808"/>
      <c r="R33" s="772"/>
      <c r="S33" s="773"/>
      <c r="T33" s="772"/>
      <c r="U33" s="773"/>
      <c r="V33" s="772"/>
      <c r="W33" s="773"/>
      <c r="X33" s="1811"/>
      <c r="Y33" s="3259"/>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59"/>
      <c r="Q34" s="1808" t="str">
        <f t="shared" si="8"/>
        <v>土地级别</v>
      </c>
      <c r="R34" s="772" t="s">
        <v>17</v>
      </c>
      <c r="S34" s="773">
        <f t="shared" si="10"/>
        <v>100</v>
      </c>
      <c r="T34" s="772" t="s">
        <v>17</v>
      </c>
      <c r="U34" s="773">
        <f t="shared" si="11"/>
        <v>100</v>
      </c>
      <c r="V34" s="772" t="s">
        <v>17</v>
      </c>
      <c r="W34" s="773">
        <f t="shared" si="12"/>
        <v>100</v>
      </c>
      <c r="X34" s="1811"/>
      <c r="Y34" s="3259"/>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59"/>
      <c r="Q35" s="1808">
        <f t="shared" si="8"/>
        <v>111</v>
      </c>
      <c r="R35" s="772" t="s">
        <v>17</v>
      </c>
      <c r="S35" s="773">
        <f t="shared" si="10"/>
        <v>100</v>
      </c>
      <c r="T35" s="772" t="s">
        <v>17</v>
      </c>
      <c r="U35" s="773">
        <f t="shared" si="11"/>
        <v>100</v>
      </c>
      <c r="V35" s="772" t="s">
        <v>17</v>
      </c>
      <c r="W35" s="773">
        <f t="shared" si="12"/>
        <v>100</v>
      </c>
      <c r="X35" s="1811"/>
      <c r="Y35" s="3259"/>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16" t="s">
        <v>2566</v>
      </c>
      <c r="Q36" s="1808">
        <f t="shared" si="8"/>
        <v>111</v>
      </c>
      <c r="R36" s="772" t="s">
        <v>17</v>
      </c>
      <c r="S36" s="773">
        <f t="shared" si="10"/>
        <v>100</v>
      </c>
      <c r="T36" s="772" t="s">
        <v>17</v>
      </c>
      <c r="U36" s="773">
        <f t="shared" si="11"/>
        <v>100</v>
      </c>
      <c r="V36" s="772" t="s">
        <v>17</v>
      </c>
      <c r="W36" s="773">
        <f t="shared" si="12"/>
        <v>100</v>
      </c>
      <c r="X36" s="1811"/>
      <c r="Y36" s="3263"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3"/>
      <c r="Q37" s="1808">
        <f t="shared" si="8"/>
        <v>111</v>
      </c>
      <c r="R37" s="775" t="s">
        <v>17</v>
      </c>
      <c r="S37" s="776">
        <f t="shared" si="10"/>
        <v>100</v>
      </c>
      <c r="T37" s="775" t="s">
        <v>17</v>
      </c>
      <c r="U37" s="776">
        <f t="shared" si="11"/>
        <v>100</v>
      </c>
      <c r="V37" s="775" t="s">
        <v>17</v>
      </c>
      <c r="W37" s="776">
        <f t="shared" si="12"/>
        <v>100</v>
      </c>
      <c r="X37" s="777"/>
      <c r="Y37" s="3263"/>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63"/>
      <c r="Q38" s="1808" t="str">
        <f>B38</f>
        <v>宗地面积</v>
      </c>
      <c r="R38" s="772" t="s">
        <v>17</v>
      </c>
      <c r="S38" s="773" t="e">
        <f t="shared" si="10"/>
        <v>#N/A</v>
      </c>
      <c r="T38" s="772" t="s">
        <v>17</v>
      </c>
      <c r="U38" s="773" t="e">
        <f t="shared" si="11"/>
        <v>#N/A</v>
      </c>
      <c r="V38" s="772" t="s">
        <v>17</v>
      </c>
      <c r="W38" s="773" t="e">
        <f t="shared" si="12"/>
        <v>#N/A</v>
      </c>
      <c r="X38" s="1811"/>
      <c r="Y38" s="3263"/>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63"/>
      <c r="Q39" s="1808" t="str">
        <f t="shared" ref="Q39:Q45" si="14">B39</f>
        <v>宗地形状</v>
      </c>
      <c r="R39" s="772" t="s">
        <v>17</v>
      </c>
      <c r="S39" s="773">
        <f t="shared" si="10"/>
        <v>100</v>
      </c>
      <c r="T39" s="772" t="s">
        <v>17</v>
      </c>
      <c r="U39" s="773">
        <f t="shared" si="11"/>
        <v>100</v>
      </c>
      <c r="V39" s="772" t="s">
        <v>17</v>
      </c>
      <c r="W39" s="773">
        <f t="shared" si="12"/>
        <v>100</v>
      </c>
      <c r="X39" s="1811"/>
      <c r="Y39" s="3263"/>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63"/>
      <c r="Q40" s="1808" t="str">
        <f t="shared" si="14"/>
        <v>临街宽度及深度</v>
      </c>
      <c r="R40" s="772" t="s">
        <v>17</v>
      </c>
      <c r="S40" s="773">
        <f t="shared" si="10"/>
        <v>100</v>
      </c>
      <c r="T40" s="772" t="s">
        <v>17</v>
      </c>
      <c r="U40" s="773">
        <f t="shared" si="11"/>
        <v>100</v>
      </c>
      <c r="V40" s="772" t="s">
        <v>17</v>
      </c>
      <c r="W40" s="773">
        <f t="shared" si="12"/>
        <v>100</v>
      </c>
      <c r="X40" s="1811"/>
      <c r="Y40" s="3263"/>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63"/>
      <c r="Q41" s="1808" t="str">
        <f t="shared" si="14"/>
        <v>宗地开发程度</v>
      </c>
      <c r="R41" s="768" t="s">
        <v>17</v>
      </c>
      <c r="S41" s="769">
        <f t="shared" si="10"/>
        <v>100</v>
      </c>
      <c r="T41" s="768" t="s">
        <v>17</v>
      </c>
      <c r="U41" s="769">
        <f t="shared" si="11"/>
        <v>100</v>
      </c>
      <c r="V41" s="768" t="s">
        <v>17</v>
      </c>
      <c r="W41" s="769">
        <f t="shared" si="12"/>
        <v>100</v>
      </c>
      <c r="X41" s="770"/>
      <c r="Y41" s="3263"/>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63" t="s">
        <v>2566</v>
      </c>
      <c r="Q42" s="1808" t="str">
        <f t="shared" si="14"/>
        <v>工程地质条件</v>
      </c>
      <c r="R42" s="772" t="s">
        <v>17</v>
      </c>
      <c r="S42" s="773">
        <f t="shared" si="10"/>
        <v>100</v>
      </c>
      <c r="T42" s="772" t="s">
        <v>17</v>
      </c>
      <c r="U42" s="773">
        <f t="shared" si="11"/>
        <v>100</v>
      </c>
      <c r="V42" s="772" t="s">
        <v>17</v>
      </c>
      <c r="W42" s="773">
        <f t="shared" si="12"/>
        <v>100</v>
      </c>
      <c r="X42" s="1811"/>
      <c r="Y42" s="3263"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3"/>
      <c r="Q43" s="1808">
        <f t="shared" si="14"/>
        <v>111</v>
      </c>
      <c r="R43" s="772" t="s">
        <v>17</v>
      </c>
      <c r="S43" s="773">
        <f t="shared" si="10"/>
        <v>100</v>
      </c>
      <c r="T43" s="772" t="s">
        <v>17</v>
      </c>
      <c r="U43" s="773">
        <f t="shared" si="11"/>
        <v>100</v>
      </c>
      <c r="V43" s="772" t="s">
        <v>17</v>
      </c>
      <c r="W43" s="773">
        <f t="shared" si="12"/>
        <v>100</v>
      </c>
      <c r="X43" s="1811"/>
      <c r="Y43" s="3263"/>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3"/>
      <c r="Q44" s="1808">
        <f t="shared" si="14"/>
        <v>111</v>
      </c>
      <c r="R44" s="772" t="s">
        <v>17</v>
      </c>
      <c r="S44" s="773">
        <f t="shared" si="10"/>
        <v>100</v>
      </c>
      <c r="T44" s="772" t="s">
        <v>17</v>
      </c>
      <c r="U44" s="773">
        <f t="shared" si="11"/>
        <v>100</v>
      </c>
      <c r="V44" s="772" t="s">
        <v>17</v>
      </c>
      <c r="W44" s="773">
        <f t="shared" si="12"/>
        <v>100</v>
      </c>
      <c r="X44" s="1811"/>
      <c r="Y44" s="3263"/>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3"/>
      <c r="Q45" s="1808">
        <f t="shared" si="14"/>
        <v>111</v>
      </c>
      <c r="R45" s="775" t="s">
        <v>17</v>
      </c>
      <c r="S45" s="776">
        <f t="shared" si="10"/>
        <v>100</v>
      </c>
      <c r="T45" s="775" t="s">
        <v>17</v>
      </c>
      <c r="U45" s="776">
        <f t="shared" si="11"/>
        <v>100</v>
      </c>
      <c r="V45" s="775" t="s">
        <v>17</v>
      </c>
      <c r="W45" s="776">
        <f t="shared" si="12"/>
        <v>100</v>
      </c>
      <c r="X45" s="777"/>
      <c r="Y45" s="3263"/>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65" t="str">
        <f>A46</f>
        <v>成交单价</v>
      </c>
      <c r="Q46" s="3265"/>
      <c r="R46" s="3227">
        <f>E46</f>
        <v>0</v>
      </c>
      <c r="S46" s="3227"/>
      <c r="T46" s="3227">
        <f>G46</f>
        <v>0</v>
      </c>
      <c r="U46" s="3227"/>
      <c r="V46" s="3227">
        <f>I46</f>
        <v>0</v>
      </c>
      <c r="W46" s="3227"/>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65" t="str">
        <f>A47</f>
        <v>比较价值（元/平方米）</v>
      </c>
      <c r="Q47" s="3265"/>
      <c r="R47" s="3317" t="e">
        <f>ROUND(PRODUCT(R46,AA7:AA45),0)</f>
        <v>#DIV/0!</v>
      </c>
      <c r="S47" s="3317"/>
      <c r="T47" s="3317" t="e">
        <f>ROUND(PRODUCT(T46,AB7:AB45),0)</f>
        <v>#DIV/0!</v>
      </c>
      <c r="U47" s="3317"/>
      <c r="V47" s="3317" t="e">
        <f>ROUND(PRODUCT(V46,AC7:AC45),0)</f>
        <v>#DIV/0!</v>
      </c>
      <c r="W47" s="3317"/>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67" t="str">
        <f>A48</f>
        <v>估价对象XX用房的比较价值（楼面单价，元/平方米）</v>
      </c>
      <c r="Q48" s="3268"/>
      <c r="R48" s="3318" t="e">
        <f>ROUND(AVERAGE(R47:V47),0)</f>
        <v>#DIV/0!</v>
      </c>
      <c r="S48" s="3318"/>
      <c r="T48" s="3318"/>
      <c r="U48" s="3318"/>
      <c r="V48" s="3318"/>
      <c r="W48" s="3318"/>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3" t="s">
        <v>2765</v>
      </c>
      <c r="H55" s="3319"/>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42"/>
      <c r="H56" s="3265"/>
      <c r="I56" s="1109">
        <v>1</v>
      </c>
      <c r="J56" s="1112">
        <v>1</v>
      </c>
      <c r="K56" s="1146"/>
      <c r="L56" s="942"/>
      <c r="M56" s="942"/>
      <c r="N56" s="942"/>
      <c r="O56" s="942"/>
    </row>
    <row r="57" spans="1:15" s="692" customFormat="1">
      <c r="A57" s="693" t="s">
        <v>2769</v>
      </c>
      <c r="B57" s="262" t="e">
        <f>ROUND($C$48*C57*D57,0)</f>
        <v>#DIV/0!</v>
      </c>
      <c r="C57" s="200">
        <f t="shared" ref="C57:C65" si="16">IF($C$55="北京市系数",I57,J57)</f>
        <v>0</v>
      </c>
      <c r="D57" s="1165">
        <v>0.25</v>
      </c>
      <c r="E57" s="694"/>
      <c r="F57" s="1104" t="e">
        <f t="shared" si="15"/>
        <v>#DIV/0!</v>
      </c>
      <c r="G57" s="3320" t="s">
        <v>2770</v>
      </c>
      <c r="H57" s="1105">
        <f>项目基本情况!B37</f>
        <v>0</v>
      </c>
      <c r="I57" s="1109">
        <f>SUMIF(修正!A45:A56,H57,修正!B45:B56)</f>
        <v>0</v>
      </c>
      <c r="J57" s="1113"/>
      <c r="K57" s="1145"/>
      <c r="L57" s="942"/>
      <c r="M57" s="942"/>
      <c r="N57" s="942"/>
      <c r="O57" s="942"/>
    </row>
    <row r="58" spans="1:15" s="692" customFormat="1">
      <c r="A58" s="693" t="s">
        <v>2771</v>
      </c>
      <c r="B58" s="262" t="e">
        <f t="shared" ref="B58:B65" si="17">ROUND($C$48*C58*D58,0)</f>
        <v>#DIV/0!</v>
      </c>
      <c r="C58" s="200">
        <f t="shared" si="16"/>
        <v>0</v>
      </c>
      <c r="D58" s="1165">
        <v>0.25</v>
      </c>
      <c r="E58" s="694"/>
      <c r="F58" s="1104" t="e">
        <f t="shared" si="15"/>
        <v>#DIV/0!</v>
      </c>
      <c r="G58" s="3320"/>
      <c r="H58" s="1105">
        <f>项目基本情况!B37</f>
        <v>0</v>
      </c>
      <c r="I58" s="1109">
        <f>SUMIF(修正!A45:A56,H58,修正!C45:C56)</f>
        <v>0</v>
      </c>
      <c r="J58" s="1113"/>
      <c r="K58" s="1146"/>
      <c r="L58" s="942"/>
      <c r="M58" s="942"/>
      <c r="N58" s="942"/>
      <c r="O58" s="942"/>
    </row>
    <row r="59" spans="1:15" s="692" customFormat="1">
      <c r="A59" s="693" t="s">
        <v>2772</v>
      </c>
      <c r="B59" s="262" t="e">
        <f t="shared" si="17"/>
        <v>#DIV/0!</v>
      </c>
      <c r="C59" s="200">
        <f t="shared" si="16"/>
        <v>0</v>
      </c>
      <c r="D59" s="1165">
        <v>0.25</v>
      </c>
      <c r="E59" s="694"/>
      <c r="F59" s="1104" t="e">
        <f t="shared" si="15"/>
        <v>#DIV/0!</v>
      </c>
      <c r="G59" s="3320"/>
      <c r="H59" s="1105">
        <f>项目基本情况!B37</f>
        <v>0</v>
      </c>
      <c r="I59" s="1109">
        <f>SUMIF(修正!A45:A56,H59,修正!D45:D56)</f>
        <v>0</v>
      </c>
      <c r="J59" s="1113"/>
      <c r="K59" s="1145"/>
      <c r="L59" s="942"/>
      <c r="M59" s="942"/>
      <c r="N59" s="942"/>
      <c r="O59" s="942"/>
    </row>
    <row r="60" spans="1:15" s="692" customFormat="1">
      <c r="A60" s="693" t="s">
        <v>2773</v>
      </c>
      <c r="B60" s="262" t="e">
        <f t="shared" si="17"/>
        <v>#DIV/0!</v>
      </c>
      <c r="C60" s="200">
        <f t="shared" si="16"/>
        <v>0</v>
      </c>
      <c r="D60" s="1165">
        <v>0.25</v>
      </c>
      <c r="E60" s="694"/>
      <c r="F60" s="1104" t="e">
        <f t="shared" si="15"/>
        <v>#DIV/0!</v>
      </c>
      <c r="G60" s="3320"/>
      <c r="H60" s="1105">
        <f>项目基本情况!B37</f>
        <v>0</v>
      </c>
      <c r="I60" s="1109">
        <f>SUMIF(修正!A45:A56,H60,修正!E45:E56)</f>
        <v>0</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v>
      </c>
      <c r="D64" s="1165">
        <v>0.25</v>
      </c>
      <c r="E64" s="261">
        <f>'数据-汇总表'!E14</f>
        <v>0</v>
      </c>
      <c r="F64" s="1104" t="e">
        <f t="shared" si="15"/>
        <v>#DIV/0!</v>
      </c>
      <c r="G64" s="2709" t="s">
        <v>2770</v>
      </c>
      <c r="H64" s="1105">
        <f>项目基本情况!B37</f>
        <v>0</v>
      </c>
      <c r="I64" s="1109">
        <f>SUMIF(修正!A45:A56,H64,修正!H45:H56)</f>
        <v>0</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7"/>
    </row>
    <row r="71" spans="1:17" s="117" customFormat="1" ht="30" customHeight="1">
      <c r="A71" s="2712"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3" t="s">
        <v>2647</v>
      </c>
      <c r="D4" s="3244"/>
      <c r="E4" s="3245" t="s">
        <v>2648</v>
      </c>
      <c r="F4" s="3246"/>
      <c r="G4" s="3243" t="s">
        <v>2649</v>
      </c>
      <c r="H4" s="3244"/>
      <c r="I4" s="3243" t="s">
        <v>2650</v>
      </c>
      <c r="J4" s="3244"/>
      <c r="K4" s="610" t="s">
        <v>2651</v>
      </c>
      <c r="L4" s="1131"/>
      <c r="M4" s="1132"/>
      <c r="N4" s="1132"/>
      <c r="O4" s="1132"/>
      <c r="P4" s="3247" t="s">
        <v>2652</v>
      </c>
      <c r="Q4" s="3248"/>
      <c r="R4" s="3230" t="s">
        <v>2648</v>
      </c>
      <c r="S4" s="3231"/>
      <c r="T4" s="3230" t="s">
        <v>2649</v>
      </c>
      <c r="U4" s="3231"/>
      <c r="V4" s="3227" t="s">
        <v>2650</v>
      </c>
      <c r="W4" s="3227"/>
      <c r="X4" s="1811"/>
      <c r="Y4" s="3230" t="s">
        <v>2652</v>
      </c>
      <c r="Z4" s="3231"/>
      <c r="AA4" s="3224" t="s">
        <v>2648</v>
      </c>
      <c r="AB4" s="3225" t="s">
        <v>2649</v>
      </c>
      <c r="AC4" s="3224" t="s">
        <v>2650</v>
      </c>
    </row>
    <row r="5" spans="1:29" ht="15">
      <c r="A5" s="404"/>
      <c r="B5" s="405"/>
      <c r="C5" s="3236" t="s">
        <v>2543</v>
      </c>
      <c r="D5" s="3237"/>
      <c r="E5" s="3234" t="s">
        <v>2544</v>
      </c>
      <c r="F5" s="3235"/>
      <c r="G5" s="3236" t="s">
        <v>2545</v>
      </c>
      <c r="H5" s="3237"/>
      <c r="I5" s="3236" t="s">
        <v>2546</v>
      </c>
      <c r="J5" s="3237"/>
      <c r="K5" s="610"/>
      <c r="L5" s="1131"/>
      <c r="M5" s="1132"/>
      <c r="N5" s="1132"/>
      <c r="O5" s="1132"/>
      <c r="P5" s="3249"/>
      <c r="Q5" s="3250"/>
      <c r="R5" s="3232"/>
      <c r="S5" s="3233"/>
      <c r="T5" s="3232"/>
      <c r="U5" s="3233"/>
      <c r="V5" s="3227"/>
      <c r="W5" s="3227"/>
      <c r="X5" s="1811"/>
      <c r="Y5" s="3232"/>
      <c r="Z5" s="3233"/>
      <c r="AA5" s="3225"/>
      <c r="AB5" s="3225"/>
      <c r="AC5" s="3225"/>
    </row>
    <row r="6" spans="1:29" ht="15.75" thickBot="1">
      <c r="A6" s="406"/>
      <c r="B6" s="407"/>
      <c r="C6" s="3321" t="s">
        <v>2798</v>
      </c>
      <c r="D6" s="3322"/>
      <c r="E6" s="3323" t="s">
        <v>2798</v>
      </c>
      <c r="F6" s="3324"/>
      <c r="G6" s="3321" t="s">
        <v>2798</v>
      </c>
      <c r="H6" s="3322"/>
      <c r="I6" s="3321" t="s">
        <v>2798</v>
      </c>
      <c r="J6" s="3322"/>
      <c r="K6" s="610" t="s">
        <v>2548</v>
      </c>
      <c r="L6" s="1131"/>
      <c r="M6" s="1132"/>
      <c r="N6" s="1132"/>
      <c r="O6" s="1132"/>
      <c r="P6" s="3251"/>
      <c r="Q6" s="3252"/>
      <c r="R6" s="3232"/>
      <c r="S6" s="3233"/>
      <c r="T6" s="3253"/>
      <c r="U6" s="3254"/>
      <c r="V6" s="3227"/>
      <c r="W6" s="3227"/>
      <c r="X6" s="1811"/>
      <c r="Y6" s="3253"/>
      <c r="Z6" s="3254"/>
      <c r="AA6" s="3226"/>
      <c r="AB6" s="3226"/>
      <c r="AC6" s="3226"/>
    </row>
    <row r="7" spans="1:29" s="117" customFormat="1" ht="15.75" thickBot="1">
      <c r="A7" s="408" t="s">
        <v>2549</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28" t="s">
        <v>2550</v>
      </c>
      <c r="Q7" s="3255"/>
      <c r="R7" s="768" t="s">
        <v>17</v>
      </c>
      <c r="S7" s="769">
        <f t="shared" ref="S7:S15" si="0">F7</f>
        <v>0</v>
      </c>
      <c r="T7" s="768" t="s">
        <v>17</v>
      </c>
      <c r="U7" s="769">
        <f t="shared" ref="U7:U15" si="1">H7</f>
        <v>0</v>
      </c>
      <c r="V7" s="768" t="s">
        <v>17</v>
      </c>
      <c r="W7" s="769">
        <f t="shared" ref="W7:W15" si="2">J7</f>
        <v>0</v>
      </c>
      <c r="X7" s="770"/>
      <c r="Y7" s="3228" t="s">
        <v>2550</v>
      </c>
      <c r="Z7" s="3229"/>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28" t="s">
        <v>2553</v>
      </c>
      <c r="Q8" s="3229"/>
      <c r="R8" s="768" t="s">
        <v>17</v>
      </c>
      <c r="S8" s="769">
        <f t="shared" si="0"/>
        <v>0</v>
      </c>
      <c r="T8" s="768" t="s">
        <v>17</v>
      </c>
      <c r="U8" s="769">
        <f t="shared" si="1"/>
        <v>0</v>
      </c>
      <c r="V8" s="768" t="s">
        <v>17</v>
      </c>
      <c r="W8" s="769">
        <f t="shared" si="2"/>
        <v>0</v>
      </c>
      <c r="X8" s="770"/>
      <c r="Y8" s="3228" t="s">
        <v>2553</v>
      </c>
      <c r="Z8" s="3229"/>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65" t="s">
        <v>2556</v>
      </c>
      <c r="Q9" s="1793" t="str">
        <f t="shared" ref="Q9:Q15" si="6">B9</f>
        <v>用途</v>
      </c>
      <c r="R9" s="768" t="s">
        <v>17</v>
      </c>
      <c r="S9" s="769">
        <f t="shared" si="0"/>
        <v>100</v>
      </c>
      <c r="T9" s="768" t="s">
        <v>17</v>
      </c>
      <c r="U9" s="769">
        <f t="shared" si="1"/>
        <v>100</v>
      </c>
      <c r="V9" s="768" t="s">
        <v>17</v>
      </c>
      <c r="W9" s="769">
        <f t="shared" si="2"/>
        <v>100</v>
      </c>
      <c r="X9" s="770"/>
      <c r="Y9" s="3101"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65"/>
      <c r="Q10" s="1793" t="str">
        <f t="shared" si="6"/>
        <v>土地使用年限（年）</v>
      </c>
      <c r="R10" s="768" t="s">
        <v>17</v>
      </c>
      <c r="S10" s="769">
        <f t="shared" si="0"/>
        <v>104</v>
      </c>
      <c r="T10" s="768" t="s">
        <v>17</v>
      </c>
      <c r="U10" s="769">
        <f t="shared" si="1"/>
        <v>104</v>
      </c>
      <c r="V10" s="768" t="s">
        <v>17</v>
      </c>
      <c r="W10" s="769">
        <f t="shared" si="2"/>
        <v>104</v>
      </c>
      <c r="X10" s="770"/>
      <c r="Y10" s="3101"/>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65"/>
      <c r="Q11" s="1793" t="str">
        <f t="shared" si="6"/>
        <v>容积率</v>
      </c>
      <c r="R11" s="768" t="s">
        <v>17</v>
      </c>
      <c r="S11" s="769" t="e">
        <f t="shared" si="0"/>
        <v>#N/A</v>
      </c>
      <c r="T11" s="768" t="s">
        <v>17</v>
      </c>
      <c r="U11" s="769" t="e">
        <f t="shared" si="1"/>
        <v>#N/A</v>
      </c>
      <c r="V11" s="768" t="s">
        <v>17</v>
      </c>
      <c r="W11" s="769" t="e">
        <f t="shared" si="2"/>
        <v>#N/A</v>
      </c>
      <c r="X11" s="770"/>
      <c r="Y11" s="3101"/>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65"/>
      <c r="Q12" s="1793">
        <f t="shared" si="6"/>
        <v>111</v>
      </c>
      <c r="R12" s="768" t="s">
        <v>17</v>
      </c>
      <c r="S12" s="769">
        <f t="shared" si="0"/>
        <v>100</v>
      </c>
      <c r="T12" s="768" t="s">
        <v>17</v>
      </c>
      <c r="U12" s="769">
        <f t="shared" si="1"/>
        <v>100</v>
      </c>
      <c r="V12" s="768" t="s">
        <v>17</v>
      </c>
      <c r="W12" s="769">
        <f t="shared" si="2"/>
        <v>100</v>
      </c>
      <c r="X12" s="770"/>
      <c r="Y12" s="3101"/>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65"/>
      <c r="Q13" s="1793">
        <f t="shared" si="6"/>
        <v>111</v>
      </c>
      <c r="R13" s="768" t="s">
        <v>17</v>
      </c>
      <c r="S13" s="769">
        <f t="shared" si="0"/>
        <v>100</v>
      </c>
      <c r="T13" s="768" t="s">
        <v>17</v>
      </c>
      <c r="U13" s="769">
        <f t="shared" si="1"/>
        <v>100</v>
      </c>
      <c r="V13" s="768" t="s">
        <v>17</v>
      </c>
      <c r="W13" s="769">
        <f t="shared" si="2"/>
        <v>100</v>
      </c>
      <c r="X13" s="770"/>
      <c r="Y13" s="3101"/>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65"/>
      <c r="Q14" s="1793">
        <f t="shared" si="6"/>
        <v>111</v>
      </c>
      <c r="R14" s="768" t="s">
        <v>17</v>
      </c>
      <c r="S14" s="769">
        <f t="shared" si="0"/>
        <v>100</v>
      </c>
      <c r="T14" s="768" t="s">
        <v>17</v>
      </c>
      <c r="U14" s="769">
        <f t="shared" si="1"/>
        <v>100</v>
      </c>
      <c r="V14" s="768" t="s">
        <v>17</v>
      </c>
      <c r="W14" s="769">
        <f t="shared" si="2"/>
        <v>100</v>
      </c>
      <c r="X14" s="770"/>
      <c r="Y14" s="3101"/>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58" t="s">
        <v>2561</v>
      </c>
      <c r="Q15" s="1808" t="str">
        <f t="shared" si="6"/>
        <v>产业集聚程度</v>
      </c>
      <c r="R15" s="772" t="s">
        <v>17</v>
      </c>
      <c r="S15" s="773">
        <f t="shared" si="0"/>
        <v>100</v>
      </c>
      <c r="T15" s="772" t="s">
        <v>17</v>
      </c>
      <c r="U15" s="773">
        <f t="shared" si="1"/>
        <v>100</v>
      </c>
      <c r="V15" s="772" t="s">
        <v>17</v>
      </c>
      <c r="W15" s="773">
        <f t="shared" si="2"/>
        <v>100</v>
      </c>
      <c r="X15" s="1811"/>
      <c r="Y15" s="3258"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59"/>
      <c r="Q16" s="1808"/>
      <c r="R16" s="772"/>
      <c r="S16" s="773"/>
      <c r="T16" s="772"/>
      <c r="U16" s="773"/>
      <c r="V16" s="772"/>
      <c r="W16" s="773"/>
      <c r="X16" s="1811"/>
      <c r="Y16" s="3259"/>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59"/>
      <c r="Q17" s="1808" t="str">
        <f>B17</f>
        <v>交通便捷度</v>
      </c>
      <c r="R17" s="772" t="s">
        <v>17</v>
      </c>
      <c r="S17" s="773">
        <f>F17</f>
        <v>100</v>
      </c>
      <c r="T17" s="772" t="s">
        <v>17</v>
      </c>
      <c r="U17" s="773">
        <f>H17</f>
        <v>100</v>
      </c>
      <c r="V17" s="772" t="s">
        <v>17</v>
      </c>
      <c r="W17" s="773">
        <f>J17</f>
        <v>100</v>
      </c>
      <c r="X17" s="1811"/>
      <c r="Y17" s="3259"/>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59"/>
      <c r="Q18" s="1808"/>
      <c r="R18" s="772"/>
      <c r="S18" s="773"/>
      <c r="T18" s="772"/>
      <c r="U18" s="773"/>
      <c r="V18" s="772"/>
      <c r="W18" s="773"/>
      <c r="X18" s="1811"/>
      <c r="Y18" s="3259"/>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59"/>
      <c r="Q19" s="1808" t="str">
        <f t="shared" ref="Q19:Q33" si="8">B19</f>
        <v>区域土地利用方向</v>
      </c>
      <c r="R19" s="772" t="s">
        <v>17</v>
      </c>
      <c r="S19" s="773">
        <f>F19</f>
        <v>100</v>
      </c>
      <c r="T19" s="772" t="s">
        <v>17</v>
      </c>
      <c r="U19" s="773">
        <f>H19</f>
        <v>100</v>
      </c>
      <c r="V19" s="772" t="s">
        <v>17</v>
      </c>
      <c r="W19" s="773">
        <f>J19</f>
        <v>100</v>
      </c>
      <c r="X19" s="1811"/>
      <c r="Y19" s="3259"/>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59"/>
      <c r="Q20" s="1808"/>
      <c r="R20" s="772"/>
      <c r="S20" s="773"/>
      <c r="T20" s="772"/>
      <c r="U20" s="773"/>
      <c r="V20" s="772"/>
      <c r="W20" s="773"/>
      <c r="X20" s="1811"/>
      <c r="Y20" s="3259"/>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59"/>
      <c r="Q21" s="1808" t="str">
        <f t="shared" si="8"/>
        <v>环境状况</v>
      </c>
      <c r="R21" s="772" t="s">
        <v>17</v>
      </c>
      <c r="S21" s="773">
        <f>F21</f>
        <v>100</v>
      </c>
      <c r="T21" s="772" t="s">
        <v>17</v>
      </c>
      <c r="U21" s="773">
        <f>H21</f>
        <v>100</v>
      </c>
      <c r="V21" s="772" t="s">
        <v>17</v>
      </c>
      <c r="W21" s="773">
        <f>J21</f>
        <v>100</v>
      </c>
      <c r="X21" s="1811"/>
      <c r="Y21" s="3259"/>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59"/>
      <c r="Q22" s="1808"/>
      <c r="R22" s="772"/>
      <c r="S22" s="773"/>
      <c r="T22" s="772"/>
      <c r="U22" s="773"/>
      <c r="V22" s="772"/>
      <c r="W22" s="773"/>
      <c r="X22" s="1811"/>
      <c r="Y22" s="3259"/>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59"/>
      <c r="Q23" s="1793" t="str">
        <f t="shared" si="8"/>
        <v>公共配套设施</v>
      </c>
      <c r="R23" s="768" t="s">
        <v>17</v>
      </c>
      <c r="S23" s="769">
        <f>F23</f>
        <v>100</v>
      </c>
      <c r="T23" s="768" t="s">
        <v>17</v>
      </c>
      <c r="U23" s="769">
        <f>H23</f>
        <v>100</v>
      </c>
      <c r="V23" s="768" t="s">
        <v>17</v>
      </c>
      <c r="W23" s="769">
        <f>J23</f>
        <v>100</v>
      </c>
      <c r="X23" s="770"/>
      <c r="Y23" s="3259"/>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59"/>
      <c r="Q24" s="1793"/>
      <c r="R24" s="768"/>
      <c r="S24" s="769"/>
      <c r="T24" s="768"/>
      <c r="U24" s="769"/>
      <c r="V24" s="768"/>
      <c r="W24" s="769"/>
      <c r="X24" s="770"/>
      <c r="Y24" s="3259"/>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59"/>
      <c r="Q25" s="1793" t="str">
        <f t="shared" ref="Q25" si="9">B25</f>
        <v>基础设施水平</v>
      </c>
      <c r="R25" s="768" t="s">
        <v>17</v>
      </c>
      <c r="S25" s="769">
        <f>F25</f>
        <v>100</v>
      </c>
      <c r="T25" s="768" t="s">
        <v>17</v>
      </c>
      <c r="U25" s="769">
        <f>H25</f>
        <v>100</v>
      </c>
      <c r="V25" s="768" t="s">
        <v>17</v>
      </c>
      <c r="W25" s="769">
        <f>J25</f>
        <v>100</v>
      </c>
      <c r="X25" s="770"/>
      <c r="Y25" s="3259"/>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59"/>
      <c r="Q26" s="1793"/>
      <c r="R26" s="768"/>
      <c r="S26" s="769"/>
      <c r="T26" s="768"/>
      <c r="U26" s="769"/>
      <c r="V26" s="768"/>
      <c r="W26" s="769"/>
      <c r="X26" s="770"/>
      <c r="Y26" s="3259"/>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5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59"/>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59"/>
      <c r="Q28" s="1808" t="str">
        <f t="shared" si="8"/>
        <v>毗邻道路的类型与等级</v>
      </c>
      <c r="R28" s="772" t="s">
        <v>17</v>
      </c>
      <c r="S28" s="773">
        <f t="shared" si="10"/>
        <v>100</v>
      </c>
      <c r="T28" s="772" t="s">
        <v>17</v>
      </c>
      <c r="U28" s="773">
        <f t="shared" si="11"/>
        <v>100</v>
      </c>
      <c r="V28" s="772" t="s">
        <v>17</v>
      </c>
      <c r="W28" s="773">
        <f t="shared" si="12"/>
        <v>100</v>
      </c>
      <c r="X28" s="1811"/>
      <c r="Y28" s="3259"/>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59"/>
      <c r="Q29" s="1808"/>
      <c r="R29" s="772"/>
      <c r="S29" s="773"/>
      <c r="T29" s="772"/>
      <c r="U29" s="773"/>
      <c r="V29" s="772"/>
      <c r="W29" s="773"/>
      <c r="X29" s="1811"/>
      <c r="Y29" s="3259"/>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59"/>
      <c r="Q30" s="1808" t="str">
        <f t="shared" si="8"/>
        <v>土地级别</v>
      </c>
      <c r="R30" s="772" t="s">
        <v>17</v>
      </c>
      <c r="S30" s="773">
        <f t="shared" si="10"/>
        <v>100</v>
      </c>
      <c r="T30" s="772" t="s">
        <v>17</v>
      </c>
      <c r="U30" s="773">
        <f t="shared" si="11"/>
        <v>100</v>
      </c>
      <c r="V30" s="772" t="s">
        <v>17</v>
      </c>
      <c r="W30" s="773">
        <f t="shared" si="12"/>
        <v>100</v>
      </c>
      <c r="X30" s="1811"/>
      <c r="Y30" s="3259"/>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59"/>
      <c r="Q31" s="1808">
        <f t="shared" si="8"/>
        <v>111</v>
      </c>
      <c r="R31" s="772" t="s">
        <v>17</v>
      </c>
      <c r="S31" s="773">
        <f t="shared" si="10"/>
        <v>100</v>
      </c>
      <c r="T31" s="772" t="s">
        <v>17</v>
      </c>
      <c r="U31" s="773">
        <f t="shared" si="11"/>
        <v>100</v>
      </c>
      <c r="V31" s="772" t="s">
        <v>17</v>
      </c>
      <c r="W31" s="773">
        <f t="shared" si="12"/>
        <v>100</v>
      </c>
      <c r="X31" s="1811"/>
      <c r="Y31" s="3259"/>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16" t="s">
        <v>2566</v>
      </c>
      <c r="Q32" s="1808">
        <f t="shared" si="8"/>
        <v>111</v>
      </c>
      <c r="R32" s="772" t="s">
        <v>17</v>
      </c>
      <c r="S32" s="773">
        <f t="shared" si="10"/>
        <v>100</v>
      </c>
      <c r="T32" s="772" t="s">
        <v>17</v>
      </c>
      <c r="U32" s="773">
        <f t="shared" si="11"/>
        <v>100</v>
      </c>
      <c r="V32" s="772" t="s">
        <v>17</v>
      </c>
      <c r="W32" s="773">
        <f t="shared" si="12"/>
        <v>100</v>
      </c>
      <c r="X32" s="1811"/>
      <c r="Y32" s="3263"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3"/>
      <c r="Q33" s="1808">
        <f t="shared" si="8"/>
        <v>111</v>
      </c>
      <c r="R33" s="775" t="s">
        <v>17</v>
      </c>
      <c r="S33" s="776">
        <f t="shared" si="10"/>
        <v>100</v>
      </c>
      <c r="T33" s="775" t="s">
        <v>17</v>
      </c>
      <c r="U33" s="776">
        <f t="shared" si="11"/>
        <v>100</v>
      </c>
      <c r="V33" s="775" t="s">
        <v>17</v>
      </c>
      <c r="W33" s="776">
        <f t="shared" si="12"/>
        <v>100</v>
      </c>
      <c r="X33" s="777"/>
      <c r="Y33" s="3263"/>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3"/>
      <c r="Q34" s="1808" t="str">
        <f>B34</f>
        <v>宗地面积</v>
      </c>
      <c r="R34" s="772" t="s">
        <v>17</v>
      </c>
      <c r="S34" s="773" t="e">
        <f t="shared" si="10"/>
        <v>#N/A</v>
      </c>
      <c r="T34" s="772" t="s">
        <v>17</v>
      </c>
      <c r="U34" s="773" t="e">
        <f t="shared" si="11"/>
        <v>#N/A</v>
      </c>
      <c r="V34" s="772" t="s">
        <v>17</v>
      </c>
      <c r="W34" s="773" t="e">
        <f t="shared" si="12"/>
        <v>#N/A</v>
      </c>
      <c r="X34" s="1811"/>
      <c r="Y34" s="3263"/>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63"/>
      <c r="Q35" s="1808" t="str">
        <f t="shared" ref="Q35:Q40" si="14">B35</f>
        <v>宗地形状</v>
      </c>
      <c r="R35" s="772" t="s">
        <v>17</v>
      </c>
      <c r="S35" s="773">
        <f t="shared" si="10"/>
        <v>100</v>
      </c>
      <c r="T35" s="772" t="s">
        <v>17</v>
      </c>
      <c r="U35" s="773">
        <f t="shared" si="11"/>
        <v>100</v>
      </c>
      <c r="V35" s="772" t="s">
        <v>17</v>
      </c>
      <c r="W35" s="773">
        <f t="shared" si="12"/>
        <v>100</v>
      </c>
      <c r="X35" s="1811"/>
      <c r="Y35" s="3263"/>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63"/>
      <c r="Q36" s="1808" t="str">
        <f t="shared" si="14"/>
        <v>宗地开发程度</v>
      </c>
      <c r="R36" s="768" t="s">
        <v>17</v>
      </c>
      <c r="S36" s="769">
        <f t="shared" si="10"/>
        <v>100</v>
      </c>
      <c r="T36" s="768" t="s">
        <v>17</v>
      </c>
      <c r="U36" s="769">
        <f t="shared" si="11"/>
        <v>100</v>
      </c>
      <c r="V36" s="768" t="s">
        <v>17</v>
      </c>
      <c r="W36" s="769">
        <f t="shared" si="12"/>
        <v>100</v>
      </c>
      <c r="X36" s="770"/>
      <c r="Y36" s="3263"/>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63" t="s">
        <v>2566</v>
      </c>
      <c r="Q37" s="1808" t="str">
        <f t="shared" si="14"/>
        <v>工程地质条件</v>
      </c>
      <c r="R37" s="772" t="s">
        <v>17</v>
      </c>
      <c r="S37" s="773">
        <f t="shared" si="10"/>
        <v>100</v>
      </c>
      <c r="T37" s="772" t="s">
        <v>17</v>
      </c>
      <c r="U37" s="773">
        <f t="shared" si="11"/>
        <v>100</v>
      </c>
      <c r="V37" s="772" t="s">
        <v>17</v>
      </c>
      <c r="W37" s="773">
        <f t="shared" si="12"/>
        <v>100</v>
      </c>
      <c r="X37" s="1811"/>
      <c r="Y37" s="3263"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3"/>
      <c r="Q38" s="1808">
        <f t="shared" si="14"/>
        <v>111</v>
      </c>
      <c r="R38" s="772" t="s">
        <v>17</v>
      </c>
      <c r="S38" s="773">
        <f t="shared" si="10"/>
        <v>100</v>
      </c>
      <c r="T38" s="772" t="s">
        <v>17</v>
      </c>
      <c r="U38" s="773">
        <f t="shared" si="11"/>
        <v>100</v>
      </c>
      <c r="V38" s="772" t="s">
        <v>17</v>
      </c>
      <c r="W38" s="773">
        <f t="shared" si="12"/>
        <v>100</v>
      </c>
      <c r="X38" s="1811"/>
      <c r="Y38" s="3263"/>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3"/>
      <c r="Q39" s="1808">
        <f t="shared" si="14"/>
        <v>111</v>
      </c>
      <c r="R39" s="772" t="s">
        <v>17</v>
      </c>
      <c r="S39" s="773">
        <f t="shared" si="10"/>
        <v>100</v>
      </c>
      <c r="T39" s="772" t="s">
        <v>17</v>
      </c>
      <c r="U39" s="773">
        <f t="shared" si="11"/>
        <v>100</v>
      </c>
      <c r="V39" s="772" t="s">
        <v>17</v>
      </c>
      <c r="W39" s="773">
        <f t="shared" si="12"/>
        <v>100</v>
      </c>
      <c r="X39" s="1811"/>
      <c r="Y39" s="3263"/>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3"/>
      <c r="Q40" s="1808">
        <f t="shared" si="14"/>
        <v>111</v>
      </c>
      <c r="R40" s="775" t="s">
        <v>17</v>
      </c>
      <c r="S40" s="776">
        <f t="shared" si="10"/>
        <v>100</v>
      </c>
      <c r="T40" s="775" t="s">
        <v>17</v>
      </c>
      <c r="U40" s="776">
        <f t="shared" si="11"/>
        <v>100</v>
      </c>
      <c r="V40" s="775" t="s">
        <v>17</v>
      </c>
      <c r="W40" s="776">
        <f t="shared" si="12"/>
        <v>100</v>
      </c>
      <c r="X40" s="777"/>
      <c r="Y40" s="3263"/>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65" t="str">
        <f>A41</f>
        <v>成交单价</v>
      </c>
      <c r="Q41" s="3265"/>
      <c r="R41" s="3227">
        <f>E41</f>
        <v>0</v>
      </c>
      <c r="S41" s="3227"/>
      <c r="T41" s="3227">
        <f>G41</f>
        <v>0</v>
      </c>
      <c r="U41" s="3227"/>
      <c r="V41" s="3227">
        <f>I41</f>
        <v>0</v>
      </c>
      <c r="W41" s="3227"/>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65" t="str">
        <f>A42</f>
        <v>比较价值（元/平方米）</v>
      </c>
      <c r="Q42" s="3265"/>
      <c r="R42" s="3317" t="e">
        <f>ROUND(PRODUCT(R41,AA7:AA40),0)</f>
        <v>#DIV/0!</v>
      </c>
      <c r="S42" s="3317"/>
      <c r="T42" s="3317" t="e">
        <f>ROUND(PRODUCT(T41,AB7:AB40),0)</f>
        <v>#DIV/0!</v>
      </c>
      <c r="U42" s="3317"/>
      <c r="V42" s="3317" t="e">
        <f>ROUND(PRODUCT(V41,AC7:AC40),0)</f>
        <v>#DIV/0!</v>
      </c>
      <c r="W42" s="3317"/>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67" t="str">
        <f>A43</f>
        <v>估价对象XX用房的比较价值（楼面单价，元/平方米）</v>
      </c>
      <c r="Q43" s="3268"/>
      <c r="R43" s="3318" t="e">
        <f>ROUND(AVERAGE(R42:V42),0)</f>
        <v>#DIV/0!</v>
      </c>
      <c r="S43" s="3318"/>
      <c r="T43" s="3318"/>
      <c r="U43" s="3318"/>
      <c r="V43" s="3318"/>
      <c r="W43" s="3318"/>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3" t="s">
        <v>2765</v>
      </c>
      <c r="H50" s="3319"/>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42"/>
      <c r="H51" s="3265"/>
      <c r="I51" s="943">
        <v>1</v>
      </c>
      <c r="J51" s="943">
        <v>1</v>
      </c>
      <c r="K51" s="1146"/>
      <c r="L51" s="942"/>
      <c r="M51" s="942"/>
      <c r="N51" s="942"/>
      <c r="O51" s="942"/>
    </row>
    <row r="52" spans="1:17" s="692" customFormat="1">
      <c r="A52" s="693" t="s">
        <v>2769</v>
      </c>
      <c r="B52" s="262" t="e">
        <f>ROUND($C$43*C52*D52,0)</f>
        <v>#DIV/0!</v>
      </c>
      <c r="C52" s="200">
        <f t="shared" ref="C52:C60" si="16">IF($C$50="北京市系数",I52,J52)</f>
        <v>0</v>
      </c>
      <c r="D52" s="1165">
        <v>0.25</v>
      </c>
      <c r="E52" s="694"/>
      <c r="F52" s="691" t="e">
        <f t="shared" si="15"/>
        <v>#DIV/0!</v>
      </c>
      <c r="G52" s="3320" t="s">
        <v>2770</v>
      </c>
      <c r="H52" s="1105">
        <f>项目基本情况!B37</f>
        <v>0</v>
      </c>
      <c r="I52" s="943">
        <f>SUMIF(修正!A45:A56,H52,修正!B45:B56)</f>
        <v>0</v>
      </c>
      <c r="J52" s="944"/>
      <c r="K52" s="1145"/>
      <c r="L52" s="942"/>
      <c r="M52" s="942"/>
      <c r="N52" s="942"/>
      <c r="O52" s="942"/>
    </row>
    <row r="53" spans="1:17" s="692" customFormat="1">
      <c r="A53" s="693" t="s">
        <v>2771</v>
      </c>
      <c r="B53" s="262" t="e">
        <f t="shared" ref="B53:B60" si="17">ROUND($C$43*C53*D53,0)</f>
        <v>#DIV/0!</v>
      </c>
      <c r="C53" s="200">
        <f t="shared" si="16"/>
        <v>0</v>
      </c>
      <c r="D53" s="1165">
        <v>0.25</v>
      </c>
      <c r="E53" s="694"/>
      <c r="F53" s="691" t="e">
        <f t="shared" si="15"/>
        <v>#DIV/0!</v>
      </c>
      <c r="G53" s="3320"/>
      <c r="H53" s="1105">
        <f>项目基本情况!B37</f>
        <v>0</v>
      </c>
      <c r="I53" s="943">
        <f>SUMIF(修正!A45:A56,H53,修正!C45:C56)</f>
        <v>0</v>
      </c>
      <c r="J53" s="944"/>
      <c r="K53" s="1146"/>
      <c r="L53" s="942"/>
      <c r="M53" s="942"/>
      <c r="N53" s="942"/>
      <c r="O53" s="942"/>
    </row>
    <row r="54" spans="1:17" s="692" customFormat="1">
      <c r="A54" s="693" t="s">
        <v>2772</v>
      </c>
      <c r="B54" s="262" t="e">
        <f t="shared" si="17"/>
        <v>#DIV/0!</v>
      </c>
      <c r="C54" s="200">
        <f t="shared" si="16"/>
        <v>0</v>
      </c>
      <c r="D54" s="1165">
        <v>0.25</v>
      </c>
      <c r="E54" s="694"/>
      <c r="F54" s="691" t="e">
        <f t="shared" si="15"/>
        <v>#DIV/0!</v>
      </c>
      <c r="G54" s="3320"/>
      <c r="H54" s="1105">
        <f>项目基本情况!B37</f>
        <v>0</v>
      </c>
      <c r="I54" s="943">
        <f>SUMIF(修正!A45:A56,H54,修正!D45:D56)</f>
        <v>0</v>
      </c>
      <c r="J54" s="944"/>
      <c r="K54" s="1145"/>
      <c r="L54" s="942"/>
      <c r="M54" s="942"/>
      <c r="N54" s="942"/>
      <c r="O54" s="942"/>
    </row>
    <row r="55" spans="1:17" s="692" customFormat="1">
      <c r="A55" s="693" t="s">
        <v>2773</v>
      </c>
      <c r="B55" s="262" t="e">
        <f t="shared" si="17"/>
        <v>#DIV/0!</v>
      </c>
      <c r="C55" s="200">
        <f t="shared" si="16"/>
        <v>0</v>
      </c>
      <c r="D55" s="1165">
        <v>0.25</v>
      </c>
      <c r="E55" s="694"/>
      <c r="F55" s="691" t="e">
        <f t="shared" si="15"/>
        <v>#DIV/0!</v>
      </c>
      <c r="G55" s="3320"/>
      <c r="H55" s="1105">
        <f>项目基本情况!B37</f>
        <v>0</v>
      </c>
      <c r="I55" s="943">
        <f>SUMIF(修正!A45:A56,H55,修正!E45:E56)</f>
        <v>0</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v>
      </c>
      <c r="D59" s="1165">
        <v>0.25</v>
      </c>
      <c r="E59" s="261">
        <f>'数据-汇总表'!E14</f>
        <v>0</v>
      </c>
      <c r="F59" s="691" t="e">
        <f t="shared" si="15"/>
        <v>#DIV/0!</v>
      </c>
      <c r="G59" s="2709" t="s">
        <v>2770</v>
      </c>
      <c r="H59" s="1105">
        <f>项目基本情况!B37</f>
        <v>0</v>
      </c>
      <c r="I59" s="943">
        <f>SUMIF(修正!A45:A56,H59,修正!H45:H56)</f>
        <v>0</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14578</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4583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604</v>
      </c>
      <c r="D5" s="255" t="s">
        <v>2335</v>
      </c>
      <c r="E5" s="256" t="s">
        <v>2336</v>
      </c>
      <c r="F5" s="256" t="s">
        <v>2337</v>
      </c>
      <c r="G5" s="257"/>
    </row>
    <row r="6" spans="1:9" s="258" customFormat="1" ht="13.5" customHeight="1">
      <c r="A6" s="950" t="s">
        <v>2338</v>
      </c>
      <c r="B6" s="259" t="s">
        <v>2339</v>
      </c>
      <c r="C6" s="260">
        <f ca="1">基准地价修正!B2</f>
        <v>0</v>
      </c>
      <c r="D6" s="261"/>
      <c r="E6" s="262"/>
      <c r="F6" s="262"/>
      <c r="G6" s="263"/>
    </row>
    <row r="7" spans="1:9" s="258" customFormat="1" ht="13.5" customHeight="1">
      <c r="A7" s="950" t="s">
        <v>2340</v>
      </c>
      <c r="B7" s="259" t="s">
        <v>2341</v>
      </c>
      <c r="C7" s="264">
        <f ca="1">ROUND(C6*F7,0)</f>
        <v>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3095</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3096</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3097</v>
      </c>
    </row>
    <row r="20" spans="1:7" s="258" customFormat="1" ht="13.5" customHeight="1">
      <c r="A20" s="299" t="s">
        <v>2359</v>
      </c>
      <c r="B20" s="254" t="s">
        <v>2360</v>
      </c>
      <c r="C20" s="276">
        <f ca="1">ROUND((C5+C19)*F20,0)</f>
        <v>12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60</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59</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123</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123</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1" t="s">
        <v>2410</v>
      </c>
    </row>
    <row r="43" spans="1:7" ht="13.5" customHeight="1">
      <c r="A43" s="952" t="s">
        <v>792</v>
      </c>
      <c r="B43" s="259" t="s">
        <v>2411</v>
      </c>
      <c r="C43" s="282">
        <f ca="1">ROUND(IF('数据-取费表'!B22&lt;=1,C39*F22*'数据-取费表'!B21/2,C39*(POWER((1+F22),'数据-取费表'!B21/2)-1)),0)</f>
        <v>9</v>
      </c>
      <c r="D43" s="282"/>
      <c r="E43" s="282"/>
      <c r="F43" s="283"/>
      <c r="G43" s="3222"/>
    </row>
    <row r="44" spans="1:7" ht="13.5" customHeight="1">
      <c r="A44" s="952" t="s">
        <v>793</v>
      </c>
      <c r="B44" s="259" t="s">
        <v>2412</v>
      </c>
      <c r="C44" s="282">
        <f ca="1">ROUND(IF('数据-取费表'!B22&lt;=1,C40*F22*'数据-取费表'!B21/2,C40*(POWER((1+F22),'数据-取费表'!B21/2)-1)),4)</f>
        <v>1E-3</v>
      </c>
      <c r="D44" s="282"/>
      <c r="E44" s="282"/>
      <c r="F44" s="283"/>
      <c r="G44" s="3223"/>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13712</v>
      </c>
      <c r="D51" s="276"/>
      <c r="E51" s="276"/>
      <c r="F51" s="308"/>
      <c r="G51" s="278" t="s">
        <v>2426</v>
      </c>
    </row>
    <row r="52" spans="1:7" s="252" customFormat="1" ht="16.5" thickBot="1">
      <c r="A52" s="309" t="s">
        <v>2427</v>
      </c>
      <c r="B52" s="310"/>
      <c r="C52" s="311">
        <f ca="1">C31+C51</f>
        <v>14578</v>
      </c>
      <c r="D52" s="310"/>
      <c r="E52" s="310"/>
      <c r="F52" s="310"/>
      <c r="G52" s="312"/>
    </row>
    <row r="55" spans="1:7" ht="15">
      <c r="B55" s="314" t="s">
        <v>2428</v>
      </c>
      <c r="C55" s="315"/>
    </row>
    <row r="56" spans="1:7">
      <c r="B56" s="317" t="s">
        <v>1509</v>
      </c>
      <c r="C56" s="319">
        <f ca="1">1-C57</f>
        <v>5.9000000000000052E-2</v>
      </c>
    </row>
    <row r="57" spans="1:7">
      <c r="B57" s="317" t="s">
        <v>1510</v>
      </c>
      <c r="C57" s="318">
        <f ca="1">ROUND(C51/C52,3)</f>
        <v>0.94099999999999995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K32" sqref="K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0</v>
      </c>
      <c r="C2" s="2721" t="s">
        <v>2814</v>
      </c>
      <c r="D2" s="2722" t="s">
        <v>2815</v>
      </c>
      <c r="E2" s="2723" t="s">
        <v>27</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0</v>
      </c>
      <c r="C3" s="2721" t="s">
        <v>2820</v>
      </c>
      <c r="D3" s="2722" t="s">
        <v>2821</v>
      </c>
      <c r="E3" s="2727" t="s">
        <v>3077</v>
      </c>
      <c r="F3" s="2728" t="s">
        <v>3079</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39"/>
      <c r="B4" s="3340"/>
      <c r="C4" s="3340"/>
      <c r="D4" s="3341"/>
      <c r="E4" s="3341"/>
      <c r="F4" s="3341"/>
      <c r="G4" s="3341"/>
      <c r="H4" s="3341"/>
      <c r="I4" s="3341"/>
      <c r="J4" s="3342"/>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5455</v>
      </c>
      <c r="D5" s="1785">
        <f>ROUND(IF(F16="增加",C6+C16,C6-C16),0)</f>
        <v>5455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0</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5420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0</v>
      </c>
      <c r="U6" s="1604"/>
      <c r="V6" s="1603">
        <f t="shared" ca="1" si="1"/>
        <v>0</v>
      </c>
      <c r="W6" s="1607"/>
      <c r="X6" s="1607"/>
      <c r="Y6" s="1607"/>
      <c r="Z6" s="1607"/>
      <c r="AA6" s="1607"/>
      <c r="AB6" s="1607"/>
      <c r="AC6" s="2735"/>
      <c r="AD6" s="2736"/>
      <c r="AE6" s="2736"/>
      <c r="AF6" s="2736"/>
      <c r="AG6" s="2736"/>
      <c r="AH6" s="2736"/>
      <c r="AI6" s="2736"/>
      <c r="AJ6" s="2737"/>
    </row>
    <row r="7" spans="1:36" ht="24">
      <c r="A7" s="3325"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0</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26"/>
      <c r="B8" s="198" t="s">
        <v>2837</v>
      </c>
      <c r="C8" s="2750" t="s">
        <v>3078</v>
      </c>
      <c r="D8" s="918" t="s">
        <v>139</v>
      </c>
      <c r="E8" s="919" t="e">
        <f>ROUND(C11/E7,4)</f>
        <v>#DIV/0!</v>
      </c>
      <c r="F8" s="2751" t="s">
        <v>2838</v>
      </c>
      <c r="G8" s="2752"/>
      <c r="H8" s="2752"/>
      <c r="I8" s="2752"/>
      <c r="J8" s="2753"/>
      <c r="K8" s="1371"/>
      <c r="L8" s="2726" t="s">
        <v>2839</v>
      </c>
      <c r="M8" s="1082">
        <f>SUMPRODUCT((区片价!B206:B244=I2)*(区片价!C3:F3=E2)*(区片价!C206:F244))</f>
        <v>5420</v>
      </c>
      <c r="N8" s="1084">
        <f>SUMPRODUCT((因素修正幅度!B206:B244=I2)*(因素修正幅度!C3:F3=E2)*(因素修正幅度!C206:F244))</f>
        <v>0.15</v>
      </c>
      <c r="O8" s="1371"/>
      <c r="P8" s="1371"/>
      <c r="Q8" s="1371"/>
      <c r="R8" s="1603">
        <v>7</v>
      </c>
      <c r="S8" s="1604"/>
      <c r="T8" s="1603">
        <f t="shared" ca="1" si="0"/>
        <v>0</v>
      </c>
      <c r="U8" s="1604"/>
      <c r="V8" s="1603">
        <f t="shared" ca="1" si="1"/>
        <v>0</v>
      </c>
      <c r="W8" s="3336" t="s">
        <v>2840</v>
      </c>
      <c r="X8" s="3337"/>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26"/>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38"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26"/>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3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26"/>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38"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25"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38"/>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43"/>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38"/>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43"/>
      <c r="B14" s="2768"/>
      <c r="C14" s="2769" t="s">
        <v>3080</v>
      </c>
      <c r="D14" s="2770" t="s">
        <v>3080</v>
      </c>
      <c r="E14" s="2770" t="s">
        <v>3080</v>
      </c>
      <c r="F14" s="2771" t="s">
        <v>3081</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44"/>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25" t="s">
        <v>2883</v>
      </c>
      <c r="B16" s="2745" t="s">
        <v>2884</v>
      </c>
      <c r="C16" s="1799">
        <f>ROUND(SUM(G17:J17)/C17,0)</f>
        <v>35</v>
      </c>
      <c r="D16" s="2779" t="s">
        <v>2885</v>
      </c>
      <c r="E16" s="2780" t="s">
        <v>3082</v>
      </c>
      <c r="F16" s="2781" t="s">
        <v>3090</v>
      </c>
      <c r="G16" s="2782" t="s">
        <v>3088</v>
      </c>
      <c r="H16" s="2782" t="s">
        <v>3089</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26"/>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0</v>
      </c>
      <c r="D19" s="2797" t="s">
        <v>2893</v>
      </c>
      <c r="E19" s="926">
        <v>41640</v>
      </c>
      <c r="F19" s="2797" t="s">
        <v>2894</v>
      </c>
      <c r="G19" s="927">
        <f>'数据-取费表'!B2</f>
        <v>43570</v>
      </c>
      <c r="H19" s="2798" t="s">
        <v>3091</v>
      </c>
      <c r="I19" s="928" t="str">
        <f>IF(H19="季度增幅（自定义）",SUMIF(N21:N24,E2,O21:O24),"")</f>
        <v/>
      </c>
      <c r="J19" s="2795"/>
      <c r="K19" s="1378"/>
      <c r="L19" s="2799" t="s">
        <v>2895</v>
      </c>
      <c r="M19" s="1732">
        <f>ROUND(SUMIF(地价!B2:F2,E2,地价!B24:F24),0)</f>
        <v>258</v>
      </c>
      <c r="N19" s="2800" t="s">
        <v>2896</v>
      </c>
      <c r="O19" s="929">
        <f>ROUNDDOWN(DATEDIF(E19,G19,"M")/3,0)</f>
        <v>21</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0.97330000000000005</v>
      </c>
      <c r="D20" s="2806" t="s">
        <v>2898</v>
      </c>
      <c r="E20" s="1766">
        <f ca="1">存贷款利率!D4/100</f>
        <v>4.3499999999999997E-2</v>
      </c>
      <c r="F20" s="2806" t="s">
        <v>2890</v>
      </c>
      <c r="G20" s="935">
        <f ca="1">SUMIF(M15:P15,E2,M17:P17)</f>
        <v>5.1999999999999998E-2</v>
      </c>
      <c r="H20" s="2806" t="s">
        <v>2899</v>
      </c>
      <c r="I20" s="936">
        <f>SUMIF('数据-取费表'!C6:C15,E2,'数据-取费表'!F6:F15)/COUNTIF('数据-取费表'!C6:C15,E2)</f>
        <v>44.68</v>
      </c>
      <c r="J20" s="937">
        <f>IF(E2="住宅",70,IF(E2="商业",40,50))</f>
        <v>50</v>
      </c>
      <c r="K20" s="1378"/>
      <c r="L20" s="2807" t="s">
        <v>2900</v>
      </c>
      <c r="M20" s="1733">
        <f>ROUND(SUMPRODUCT((地价!A4:A24=YEAR(G19)&amp;"-"&amp;ROUNDUP(MONTH(G19)/3,0))*(地价!B2:F2=E2)*(地价!B4:F24)),0)</f>
        <v>0</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3092</v>
      </c>
      <c r="C21" s="938">
        <f>IF(B21="容积率修正",IF(G3&lt;=10,D22,J22),C23)</f>
        <v>0.86170000000000002</v>
      </c>
      <c r="D21" s="2813"/>
      <c r="E21" s="2813"/>
      <c r="F21" s="2813"/>
      <c r="G21" s="2813"/>
      <c r="H21" s="2813"/>
      <c r="I21" s="2813"/>
      <c r="J21" s="2814"/>
      <c r="K21" s="1378"/>
      <c r="N21" s="2815"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0.86170000000000002</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0.85970000000000002</v>
      </c>
      <c r="I22" s="1808" t="s">
        <v>155</v>
      </c>
      <c r="J22" s="939" t="str">
        <f>IF(G3&gt;10,D113,"——")</f>
        <v>——</v>
      </c>
      <c r="K22" s="1378"/>
      <c r="N22" s="2815"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1.0875999999999999</v>
      </c>
      <c r="D24" s="2793"/>
      <c r="E24" s="2823"/>
      <c r="F24" s="2823"/>
      <c r="G24" s="2823"/>
      <c r="H24" s="2823"/>
      <c r="I24" s="2823"/>
      <c r="J24" s="2824"/>
      <c r="K24" s="1378"/>
      <c r="N24" s="2825"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9"/>
      <c r="B26" s="2816" t="s">
        <v>2916</v>
      </c>
      <c r="C26" s="206">
        <f ca="1">E29+SUM(E33:E39)</f>
        <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0</v>
      </c>
      <c r="D29" s="2845">
        <f>'数据-汇总表'!F20</f>
        <v>31807.97</v>
      </c>
      <c r="E29" s="943">
        <f ca="1">ROUND(C29*D29/10000,0)</f>
        <v>0</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0</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33" t="s">
        <v>2930</v>
      </c>
      <c r="B33" s="2861" t="s">
        <v>2931</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4"/>
      <c r="B34" s="2765" t="s">
        <v>2932</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4"/>
      <c r="B35" s="2765" t="s">
        <v>2933</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35"/>
      <c r="B36" s="2765" t="s">
        <v>2934</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0</v>
      </c>
      <c r="D37" s="2845"/>
      <c r="E37" s="200">
        <f t="shared" ca="1" si="7"/>
        <v>0</v>
      </c>
      <c r="F37" s="206">
        <f>SUMIF(修正!A45:A56,G2,修正!F45:F56)</f>
        <v>0.2</v>
      </c>
      <c r="G37" s="200">
        <f ca="1">ROUND(IF(E2="工业",C37*$M$39,C37*$M$38),0)</f>
        <v>0</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0</v>
      </c>
      <c r="D38" s="2845"/>
      <c r="E38" s="200">
        <f t="shared" ca="1" si="7"/>
        <v>0</v>
      </c>
      <c r="F38" s="206">
        <f>SUMIF(修正!A45:A56,G2,修正!G45:G56)</f>
        <v>0.2</v>
      </c>
      <c r="G38" s="200">
        <f ca="1">ROUND(IF(E2="工业",C38*$M$39,C38*$M$38),0)</f>
        <v>0</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0</v>
      </c>
      <c r="D39" s="2851"/>
      <c r="E39" s="229">
        <f t="shared" ca="1" si="7"/>
        <v>0</v>
      </c>
      <c r="F39" s="933">
        <f>SUMIF(修正!A45:A56,G2,修正!H45:H56)</f>
        <v>0.15</v>
      </c>
      <c r="G39" s="229">
        <f ca="1">ROUND(IF(E2="工业",C39*$M$39,C39*$M$38),0)</f>
        <v>0</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0.97330000000000005</v>
      </c>
      <c r="D41" s="200" t="s">
        <v>2890</v>
      </c>
      <c r="E41" s="2942">
        <f ca="1">G20</f>
        <v>5.1999999999999998E-2</v>
      </c>
      <c r="F41" s="200" t="s">
        <v>2899</v>
      </c>
      <c r="G41" s="218">
        <f>项目基本情况!F15</f>
        <v>44.68</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f>1+E59</f>
        <v>1.0875999999999999</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3093</v>
      </c>
      <c r="D59" s="1287">
        <f t="shared" ref="D59:D67" si="15">SUMIF($J$58:$N$58,C59,J59:N59)</f>
        <v>1.7999999999999999E-2</v>
      </c>
      <c r="E59" s="819">
        <f>ROUND(SUM(D59:D67),4)</f>
        <v>8.7599999999999997E-2</v>
      </c>
      <c r="F59" s="2502">
        <f>IF(E2="办公",SUMIF(L1:L12,G2,N1:N12),"——")</f>
        <v>0.15</v>
      </c>
      <c r="G59" s="1285">
        <f>H59</f>
        <v>1.7999999999999999E-2</v>
      </c>
      <c r="H59" s="1289">
        <f t="shared" ref="H59:H67" si="16">IFERROR(ROUNDDOWN($F$59*I59/2,4),"——")</f>
        <v>1.7999999999999999E-2</v>
      </c>
      <c r="I59" s="818">
        <v>0.24</v>
      </c>
      <c r="J59" s="1286">
        <f t="shared" ref="J59:J67" si="17">K59+$G59</f>
        <v>3.5999999999999997E-2</v>
      </c>
      <c r="K59" s="1286">
        <f t="shared" ref="K59:K67" si="18">$L59+$G59</f>
        <v>1.7999999999999999E-2</v>
      </c>
      <c r="L59" s="1286">
        <v>0</v>
      </c>
      <c r="M59" s="1286">
        <f t="shared" ref="M59:N67" si="19">L59-$G59</f>
        <v>-1.7999999999999999E-2</v>
      </c>
      <c r="N59" s="1286">
        <f t="shared" si="19"/>
        <v>-3.5999999999999997E-2</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3093</v>
      </c>
      <c r="D60" s="1287">
        <f t="shared" si="15"/>
        <v>2.2499999999999999E-2</v>
      </c>
      <c r="E60" s="820"/>
      <c r="F60" s="2502"/>
      <c r="G60" s="1285">
        <f t="shared" ref="G60:G67" si="20">H60</f>
        <v>2.2499999999999999E-2</v>
      </c>
      <c r="H60" s="1289">
        <f t="shared" si="16"/>
        <v>2.2499999999999999E-2</v>
      </c>
      <c r="I60" s="818">
        <v>0.3</v>
      </c>
      <c r="J60" s="1286">
        <f t="shared" si="17"/>
        <v>4.4999999999999998E-2</v>
      </c>
      <c r="K60" s="1286">
        <f t="shared" si="18"/>
        <v>2.2499999999999999E-2</v>
      </c>
      <c r="L60" s="1286">
        <v>0</v>
      </c>
      <c r="M60" s="1286">
        <f t="shared" si="19"/>
        <v>-2.2499999999999999E-2</v>
      </c>
      <c r="N60" s="1286">
        <f t="shared" si="19"/>
        <v>-4.4999999999999998E-2</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3093</v>
      </c>
      <c r="D61" s="1287">
        <f t="shared" si="15"/>
        <v>6.0000000000000001E-3</v>
      </c>
      <c r="E61" s="820"/>
      <c r="F61" s="2502"/>
      <c r="G61" s="1285">
        <f t="shared" si="20"/>
        <v>6.0000000000000001E-3</v>
      </c>
      <c r="H61" s="1289">
        <f t="shared" si="16"/>
        <v>6.0000000000000001E-3</v>
      </c>
      <c r="I61" s="818">
        <v>0.08</v>
      </c>
      <c r="J61" s="1286">
        <f t="shared" si="17"/>
        <v>1.2E-2</v>
      </c>
      <c r="K61" s="1286">
        <f t="shared" si="18"/>
        <v>6.0000000000000001E-3</v>
      </c>
      <c r="L61" s="1286">
        <v>0</v>
      </c>
      <c r="M61" s="1286">
        <f t="shared" si="19"/>
        <v>-6.0000000000000001E-3</v>
      </c>
      <c r="N61" s="1286">
        <f t="shared" si="19"/>
        <v>-1.2E-2</v>
      </c>
      <c r="AA61" s="1372"/>
      <c r="AB61" s="1372"/>
      <c r="AC61" s="1372"/>
      <c r="AD61" s="1372"/>
      <c r="AE61" s="1372"/>
      <c r="AF61" s="1372"/>
      <c r="AG61" s="1372"/>
      <c r="AH61" s="1372"/>
      <c r="AI61" s="1372"/>
      <c r="AJ61" s="1372"/>
      <c r="AK61" s="1372"/>
    </row>
    <row r="62" spans="1:37" s="1371" customFormat="1" ht="36.75">
      <c r="A62" s="2878" t="s">
        <v>2953</v>
      </c>
      <c r="B62" s="2883" t="s">
        <v>2954</v>
      </c>
      <c r="C62" s="2770" t="s">
        <v>3093</v>
      </c>
      <c r="D62" s="1287">
        <f t="shared" si="15"/>
        <v>3.0000000000000001E-3</v>
      </c>
      <c r="E62" s="820"/>
      <c r="F62" s="2502"/>
      <c r="G62" s="1285">
        <f t="shared" si="20"/>
        <v>3.0000000000000001E-3</v>
      </c>
      <c r="H62" s="1289">
        <f t="shared" si="16"/>
        <v>3.0000000000000001E-3</v>
      </c>
      <c r="I62" s="818">
        <v>0.04</v>
      </c>
      <c r="J62" s="1286">
        <f t="shared" si="17"/>
        <v>6.0000000000000001E-3</v>
      </c>
      <c r="K62" s="1286">
        <f t="shared" si="18"/>
        <v>3.0000000000000001E-3</v>
      </c>
      <c r="L62" s="1286">
        <v>0</v>
      </c>
      <c r="M62" s="1286">
        <f t="shared" si="19"/>
        <v>-3.0000000000000001E-3</v>
      </c>
      <c r="N62" s="1286">
        <f t="shared" si="19"/>
        <v>-6.0000000000000001E-3</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3094</v>
      </c>
      <c r="D63" s="1287">
        <f t="shared" si="15"/>
        <v>7.4000000000000003E-3</v>
      </c>
      <c r="E63" s="820"/>
      <c r="F63" s="2502"/>
      <c r="G63" s="1285">
        <f t="shared" si="20"/>
        <v>3.7000000000000002E-3</v>
      </c>
      <c r="H63" s="1289">
        <f t="shared" si="16"/>
        <v>3.7000000000000002E-3</v>
      </c>
      <c r="I63" s="818">
        <v>0.05</v>
      </c>
      <c r="J63" s="1286">
        <f t="shared" si="17"/>
        <v>7.4000000000000003E-3</v>
      </c>
      <c r="K63" s="1286">
        <f t="shared" si="18"/>
        <v>3.7000000000000002E-3</v>
      </c>
      <c r="L63" s="1286">
        <v>0</v>
      </c>
      <c r="M63" s="1286">
        <f t="shared" si="19"/>
        <v>-3.7000000000000002E-3</v>
      </c>
      <c r="N63" s="1286">
        <f t="shared" si="19"/>
        <v>-7.4000000000000003E-3</v>
      </c>
      <c r="AA63" s="1372"/>
      <c r="AB63" s="1372"/>
      <c r="AC63" s="1372"/>
      <c r="AD63" s="1372"/>
      <c r="AE63" s="1372"/>
      <c r="AF63" s="1372"/>
      <c r="AG63" s="1372"/>
      <c r="AH63" s="1372"/>
      <c r="AI63" s="1372"/>
      <c r="AJ63" s="1372"/>
      <c r="AK63" s="1372"/>
    </row>
    <row r="64" spans="1:37" s="1371" customFormat="1" ht="24">
      <c r="A64" s="2878" t="s">
        <v>2956</v>
      </c>
      <c r="B64" s="2884" t="s">
        <v>2957</v>
      </c>
      <c r="C64" s="2770" t="s">
        <v>3093</v>
      </c>
      <c r="D64" s="1287">
        <f t="shared" si="15"/>
        <v>3.7000000000000002E-3</v>
      </c>
      <c r="E64" s="820"/>
      <c r="F64" s="2502"/>
      <c r="G64" s="1285">
        <f t="shared" si="20"/>
        <v>3.7000000000000002E-3</v>
      </c>
      <c r="H64" s="1289">
        <f t="shared" si="16"/>
        <v>3.7000000000000002E-3</v>
      </c>
      <c r="I64" s="818">
        <v>0.05</v>
      </c>
      <c r="J64" s="1286">
        <f t="shared" si="17"/>
        <v>7.4000000000000003E-3</v>
      </c>
      <c r="K64" s="1286">
        <f t="shared" si="18"/>
        <v>3.7000000000000002E-3</v>
      </c>
      <c r="L64" s="1286">
        <v>0</v>
      </c>
      <c r="M64" s="1286">
        <f t="shared" si="19"/>
        <v>-3.7000000000000002E-3</v>
      </c>
      <c r="N64" s="1286">
        <f t="shared" si="19"/>
        <v>-7.4000000000000003E-3</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3093</v>
      </c>
      <c r="D65" s="1287">
        <f t="shared" si="15"/>
        <v>4.4999999999999997E-3</v>
      </c>
      <c r="E65" s="820"/>
      <c r="F65" s="2502"/>
      <c r="G65" s="1285">
        <f t="shared" si="20"/>
        <v>4.4999999999999997E-3</v>
      </c>
      <c r="H65" s="1289">
        <f t="shared" si="16"/>
        <v>4.4999999999999997E-3</v>
      </c>
      <c r="I65" s="818">
        <v>0.06</v>
      </c>
      <c r="J65" s="1286">
        <f t="shared" si="17"/>
        <v>8.9999999999999993E-3</v>
      </c>
      <c r="K65" s="1286">
        <f t="shared" si="18"/>
        <v>4.4999999999999997E-3</v>
      </c>
      <c r="L65" s="1286">
        <v>0</v>
      </c>
      <c r="M65" s="1286">
        <f t="shared" si="19"/>
        <v>-4.4999999999999997E-3</v>
      </c>
      <c r="N65" s="1286">
        <f t="shared" si="19"/>
        <v>-8.9999999999999993E-3</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3094</v>
      </c>
      <c r="D66" s="1287">
        <f t="shared" si="15"/>
        <v>1.7999999999999999E-2</v>
      </c>
      <c r="E66" s="820"/>
      <c r="F66" s="2502"/>
      <c r="G66" s="1285">
        <f t="shared" si="20"/>
        <v>8.9999999999999993E-3</v>
      </c>
      <c r="H66" s="1289">
        <f t="shared" si="16"/>
        <v>8.9999999999999993E-3</v>
      </c>
      <c r="I66" s="818">
        <v>0.12</v>
      </c>
      <c r="J66" s="1286">
        <f t="shared" si="17"/>
        <v>1.7999999999999999E-2</v>
      </c>
      <c r="K66" s="1286">
        <f t="shared" si="18"/>
        <v>8.9999999999999993E-3</v>
      </c>
      <c r="L66" s="1286">
        <v>0</v>
      </c>
      <c r="M66" s="1286">
        <f t="shared" si="19"/>
        <v>-8.9999999999999993E-3</v>
      </c>
      <c r="N66" s="1286">
        <f t="shared" si="19"/>
        <v>-1.7999999999999999E-2</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3093</v>
      </c>
      <c r="D67" s="1287">
        <f t="shared" si="15"/>
        <v>4.4999999999999997E-3</v>
      </c>
      <c r="E67" s="823"/>
      <c r="F67" s="2502"/>
      <c r="G67" s="1285">
        <f t="shared" si="20"/>
        <v>4.4999999999999997E-3</v>
      </c>
      <c r="H67" s="1289">
        <f t="shared" si="16"/>
        <v>4.4999999999999997E-3</v>
      </c>
      <c r="I67" s="822">
        <v>0.06</v>
      </c>
      <c r="J67" s="1286">
        <f t="shared" si="17"/>
        <v>8.9999999999999993E-3</v>
      </c>
      <c r="K67" s="1286">
        <f t="shared" si="18"/>
        <v>4.4999999999999997E-3</v>
      </c>
      <c r="L67" s="1286">
        <v>0</v>
      </c>
      <c r="M67" s="1286">
        <f t="shared" si="19"/>
        <v>-4.4999999999999997E-3</v>
      </c>
      <c r="N67" s="1286">
        <f t="shared" si="19"/>
        <v>-8.9999999999999993E-3</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27" t="s">
        <v>2972</v>
      </c>
      <c r="B90" s="3327"/>
      <c r="C90" s="3327"/>
      <c r="D90" s="3327"/>
      <c r="E90" s="3327"/>
      <c r="F90" s="3327"/>
      <c r="G90" s="3327"/>
      <c r="H90" s="3327"/>
      <c r="I90" s="3327"/>
      <c r="J90" s="3327"/>
      <c r="K90" s="2892"/>
      <c r="L90" s="2892"/>
      <c r="M90" s="2892"/>
      <c r="N90" s="2892"/>
    </row>
    <row r="91" spans="1:37">
      <c r="A91" s="3329" t="s">
        <v>2973</v>
      </c>
      <c r="B91" s="3329" t="s">
        <v>2974</v>
      </c>
      <c r="C91" s="2846" t="s">
        <v>2975</v>
      </c>
      <c r="D91" s="2847"/>
      <c r="E91" s="2847"/>
      <c r="F91" s="2847"/>
      <c r="G91" s="2847"/>
      <c r="H91" s="2847"/>
      <c r="I91" s="2847"/>
      <c r="J91" s="2893"/>
      <c r="K91" s="2894"/>
      <c r="L91" s="2894"/>
      <c r="M91" s="2894"/>
      <c r="N91" s="2894"/>
    </row>
    <row r="92" spans="1:37">
      <c r="A92" s="3329"/>
      <c r="B92" s="3329"/>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30"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1"/>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3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0"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31"/>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31"/>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31"/>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31"/>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31"/>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31"/>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31"/>
      <c r="B108" s="3155"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32"/>
      <c r="B109" s="3156"/>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28" t="s">
        <v>2980</v>
      </c>
      <c r="B110" s="3328"/>
      <c r="C110" s="3328"/>
      <c r="D110" s="3328"/>
      <c r="E110" s="3328"/>
      <c r="F110" s="3328"/>
      <c r="G110" s="3328"/>
      <c r="H110" s="3328"/>
      <c r="I110" s="3328"/>
      <c r="J110" s="3328"/>
      <c r="K110" s="2901"/>
      <c r="L110" s="2901"/>
      <c r="M110" s="2901"/>
      <c r="N110" s="2901"/>
    </row>
    <row r="112" spans="1:14" ht="13.5" thickBot="1"/>
    <row r="113" spans="1:13" ht="25.5" thickBot="1">
      <c r="A113" s="901" t="s">
        <v>2981</v>
      </c>
      <c r="B113" s="1288">
        <f>G3</f>
        <v>3.08</v>
      </c>
      <c r="C113" s="902" t="s">
        <v>2982</v>
      </c>
      <c r="D113" s="903">
        <f>SUMPRODUCT((A115:A118=F113)*(B114:M114=H113)*B115:M118)</f>
        <v>0.72629999999999995</v>
      </c>
      <c r="E113" s="2724" t="s">
        <v>2815</v>
      </c>
      <c r="F113" s="2903" t="str">
        <f>E2</f>
        <v>办公</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45" t="s">
        <v>183</v>
      </c>
      <c r="B18" s="880" t="s">
        <v>560</v>
      </c>
      <c r="C18" s="881" t="s">
        <v>561</v>
      </c>
      <c r="D18" s="882"/>
      <c r="E18" s="880">
        <v>1</v>
      </c>
      <c r="F18" s="883" t="s">
        <v>562</v>
      </c>
      <c r="G18" s="884"/>
      <c r="H18" s="876"/>
      <c r="I18" s="876"/>
    </row>
    <row r="19" spans="1:9" s="885" customFormat="1" ht="19.5" customHeight="1">
      <c r="A19" s="3345"/>
      <c r="B19" s="3345" t="s">
        <v>563</v>
      </c>
      <c r="C19" s="881" t="s">
        <v>564</v>
      </c>
      <c r="D19" s="882"/>
      <c r="E19" s="880">
        <v>0.9</v>
      </c>
      <c r="F19" s="883" t="s">
        <v>565</v>
      </c>
      <c r="G19" s="884"/>
      <c r="H19" s="876"/>
      <c r="I19" s="876"/>
    </row>
    <row r="20" spans="1:9" s="885" customFormat="1" ht="19.5" customHeight="1">
      <c r="A20" s="3345"/>
      <c r="B20" s="3345"/>
      <c r="C20" s="881" t="s">
        <v>566</v>
      </c>
      <c r="D20" s="882"/>
      <c r="E20" s="880">
        <v>1.1000000000000001</v>
      </c>
      <c r="F20" s="883" t="s">
        <v>567</v>
      </c>
      <c r="G20" s="884"/>
      <c r="H20" s="876"/>
      <c r="I20" s="876"/>
    </row>
    <row r="21" spans="1:9" s="885" customFormat="1" ht="19.5" customHeight="1">
      <c r="A21" s="3345"/>
      <c r="B21" s="3345"/>
      <c r="C21" s="881" t="s">
        <v>568</v>
      </c>
      <c r="D21" s="882"/>
      <c r="E21" s="880">
        <v>0.8</v>
      </c>
      <c r="F21" s="883" t="s">
        <v>569</v>
      </c>
      <c r="G21" s="884"/>
      <c r="H21" s="876"/>
      <c r="I21" s="876"/>
    </row>
    <row r="22" spans="1:9" s="885" customFormat="1" ht="19.5" customHeight="1">
      <c r="A22" s="3345"/>
      <c r="B22" s="3345"/>
      <c r="C22" s="881" t="s">
        <v>570</v>
      </c>
      <c r="D22" s="882"/>
      <c r="E22" s="880">
        <v>0.5</v>
      </c>
      <c r="F22" s="883"/>
      <c r="G22" s="884"/>
      <c r="H22" s="876"/>
      <c r="I22" s="876"/>
    </row>
    <row r="23" spans="1:9" s="885" customFormat="1" ht="19.5" customHeight="1">
      <c r="A23" s="3345" t="s">
        <v>184</v>
      </c>
      <c r="B23" s="880" t="s">
        <v>560</v>
      </c>
      <c r="C23" s="881" t="s">
        <v>571</v>
      </c>
      <c r="D23" s="882"/>
      <c r="E23" s="880">
        <v>1</v>
      </c>
      <c r="F23" s="883" t="s">
        <v>572</v>
      </c>
      <c r="G23" s="884"/>
      <c r="H23" s="876"/>
      <c r="I23" s="876"/>
    </row>
    <row r="24" spans="1:9" s="885" customFormat="1" ht="19.5" customHeight="1">
      <c r="A24" s="3345"/>
      <c r="B24" s="3345" t="s">
        <v>563</v>
      </c>
      <c r="C24" s="881" t="s">
        <v>573</v>
      </c>
      <c r="D24" s="882"/>
      <c r="E24" s="880">
        <v>0.5</v>
      </c>
      <c r="F24" s="883"/>
      <c r="G24" s="884"/>
      <c r="H24" s="876"/>
      <c r="I24" s="876"/>
    </row>
    <row r="25" spans="1:9" s="885" customFormat="1" ht="19.5" customHeight="1">
      <c r="A25" s="3345"/>
      <c r="B25" s="3345"/>
      <c r="C25" s="881" t="s">
        <v>574</v>
      </c>
      <c r="D25" s="882"/>
      <c r="E25" s="880">
        <v>1.1000000000000001</v>
      </c>
      <c r="F25" s="883"/>
      <c r="G25" s="884"/>
      <c r="H25" s="876"/>
      <c r="I25" s="876"/>
    </row>
    <row r="26" spans="1:9" s="885" customFormat="1" ht="19.5" customHeight="1">
      <c r="A26" s="3345"/>
      <c r="B26" s="3345"/>
      <c r="C26" s="881" t="s">
        <v>575</v>
      </c>
      <c r="D26" s="882"/>
      <c r="E26" s="880">
        <v>1.1000000000000001</v>
      </c>
      <c r="F26" s="883"/>
      <c r="G26" s="884"/>
      <c r="H26" s="876"/>
      <c r="I26" s="876"/>
    </row>
    <row r="27" spans="1:9" s="885" customFormat="1" ht="19.5" customHeight="1">
      <c r="A27" s="3345"/>
      <c r="B27" s="3345"/>
      <c r="C27" s="881" t="s">
        <v>576</v>
      </c>
      <c r="D27" s="882"/>
      <c r="E27" s="880">
        <v>0.9</v>
      </c>
      <c r="F27" s="883" t="s">
        <v>577</v>
      </c>
      <c r="G27" s="884"/>
      <c r="H27" s="876"/>
      <c r="I27" s="876"/>
    </row>
    <row r="28" spans="1:9" s="885" customFormat="1" ht="19.5" customHeight="1">
      <c r="A28" s="3345"/>
      <c r="B28" s="3345"/>
      <c r="C28" s="881" t="s">
        <v>578</v>
      </c>
      <c r="D28" s="882"/>
      <c r="E28" s="880">
        <v>0.9</v>
      </c>
      <c r="F28" s="883" t="s">
        <v>579</v>
      </c>
      <c r="G28" s="884"/>
      <c r="H28" s="876"/>
      <c r="I28" s="876"/>
    </row>
    <row r="29" spans="1:9" s="885" customFormat="1" ht="19.5" customHeight="1">
      <c r="A29" s="3345"/>
      <c r="B29" s="3345"/>
      <c r="C29" s="881" t="s">
        <v>580</v>
      </c>
      <c r="D29" s="882"/>
      <c r="E29" s="880">
        <v>0.9</v>
      </c>
      <c r="F29" s="883" t="s">
        <v>581</v>
      </c>
      <c r="G29" s="884"/>
      <c r="H29" s="876"/>
      <c r="I29" s="876"/>
    </row>
    <row r="30" spans="1:9" s="885" customFormat="1" ht="19.5" customHeight="1">
      <c r="A30" s="3345"/>
      <c r="B30" s="3345"/>
      <c r="C30" s="881" t="s">
        <v>582</v>
      </c>
      <c r="D30" s="882"/>
      <c r="E30" s="880">
        <v>0.9</v>
      </c>
      <c r="F30" s="883" t="s">
        <v>583</v>
      </c>
      <c r="G30" s="884"/>
      <c r="H30" s="876"/>
      <c r="I30" s="876"/>
    </row>
    <row r="31" spans="1:9" s="885" customFormat="1" ht="19.5" customHeight="1">
      <c r="A31" s="3345"/>
      <c r="B31" s="3345"/>
      <c r="C31" s="881" t="s">
        <v>584</v>
      </c>
      <c r="D31" s="882"/>
      <c r="E31" s="880">
        <v>0.8</v>
      </c>
      <c r="F31" s="883" t="s">
        <v>585</v>
      </c>
      <c r="G31" s="884"/>
      <c r="H31" s="876"/>
      <c r="I31" s="876"/>
    </row>
    <row r="32" spans="1:9" s="885" customFormat="1" ht="19.5" customHeight="1">
      <c r="A32" s="3345"/>
      <c r="B32" s="3345"/>
      <c r="C32" s="881" t="s">
        <v>586</v>
      </c>
      <c r="D32" s="882"/>
      <c r="E32" s="880">
        <v>0.8</v>
      </c>
      <c r="F32" s="883" t="s">
        <v>587</v>
      </c>
      <c r="G32" s="884"/>
      <c r="H32" s="876"/>
      <c r="I32" s="876"/>
    </row>
    <row r="33" spans="1:9" s="885" customFormat="1" ht="19.5" customHeight="1">
      <c r="A33" s="3345" t="s">
        <v>185</v>
      </c>
      <c r="B33" s="880" t="s">
        <v>560</v>
      </c>
      <c r="C33" s="881" t="s">
        <v>588</v>
      </c>
      <c r="D33" s="882"/>
      <c r="E33" s="880">
        <v>1</v>
      </c>
      <c r="F33" s="883" t="s">
        <v>589</v>
      </c>
      <c r="G33" s="884"/>
      <c r="H33" s="876"/>
      <c r="I33" s="876"/>
    </row>
    <row r="34" spans="1:9" s="885" customFormat="1" ht="19.5" customHeight="1">
      <c r="A34" s="3345"/>
      <c r="B34" s="880" t="s">
        <v>563</v>
      </c>
      <c r="C34" s="881" t="s">
        <v>590</v>
      </c>
      <c r="D34" s="882"/>
      <c r="E34" s="880">
        <v>1.5</v>
      </c>
      <c r="F34" s="883" t="s">
        <v>591</v>
      </c>
      <c r="G34" s="884"/>
      <c r="H34" s="876"/>
      <c r="I34" s="876"/>
    </row>
    <row r="35" spans="1:9" s="885" customFormat="1" ht="19.5" customHeight="1">
      <c r="A35" s="3345" t="s">
        <v>186</v>
      </c>
      <c r="B35" s="880" t="s">
        <v>560</v>
      </c>
      <c r="C35" s="881" t="s">
        <v>592</v>
      </c>
      <c r="D35" s="882"/>
      <c r="E35" s="880">
        <v>1</v>
      </c>
      <c r="F35" s="883" t="s">
        <v>593</v>
      </c>
      <c r="G35" s="884"/>
      <c r="H35" s="876"/>
      <c r="I35" s="876"/>
    </row>
    <row r="36" spans="1:9" s="885" customFormat="1" ht="19.5" customHeight="1">
      <c r="A36" s="3345"/>
      <c r="B36" s="3345" t="s">
        <v>563</v>
      </c>
      <c r="C36" s="881" t="s">
        <v>594</v>
      </c>
      <c r="D36" s="882"/>
      <c r="E36" s="880">
        <v>1</v>
      </c>
      <c r="F36" s="883" t="s">
        <v>595</v>
      </c>
      <c r="G36" s="884"/>
      <c r="H36" s="876"/>
      <c r="I36" s="876"/>
    </row>
    <row r="37" spans="1:9" s="885" customFormat="1" ht="19.5" customHeight="1">
      <c r="A37" s="3345"/>
      <c r="B37" s="3345"/>
      <c r="C37" s="881" t="s">
        <v>596</v>
      </c>
      <c r="D37" s="882"/>
      <c r="E37" s="880">
        <v>1.5</v>
      </c>
      <c r="F37" s="883" t="s">
        <v>597</v>
      </c>
      <c r="G37" s="884"/>
      <c r="H37" s="876"/>
      <c r="I37" s="876"/>
    </row>
    <row r="38" spans="1:9" s="885" customFormat="1" ht="19.5" customHeight="1">
      <c r="A38" s="3345"/>
      <c r="B38" s="3345"/>
      <c r="C38" s="881" t="s">
        <v>598</v>
      </c>
      <c r="D38" s="882"/>
      <c r="E38" s="880">
        <v>1</v>
      </c>
      <c r="F38" s="883" t="s">
        <v>599</v>
      </c>
      <c r="G38" s="884"/>
      <c r="H38" s="876"/>
      <c r="I38" s="876"/>
    </row>
    <row r="39" spans="1:9" s="885" customFormat="1" ht="19.5" customHeight="1">
      <c r="A39" s="3345"/>
      <c r="B39" s="334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45" t="s">
        <v>614</v>
      </c>
      <c r="C61" s="816" t="s">
        <v>615</v>
      </c>
      <c r="D61" s="816" t="s">
        <v>616</v>
      </c>
      <c r="E61" s="893">
        <v>0.5</v>
      </c>
      <c r="F61" s="880">
        <v>80</v>
      </c>
    </row>
    <row r="62" spans="1:8" s="876" customFormat="1" ht="24">
      <c r="A62" s="880">
        <v>2</v>
      </c>
      <c r="B62" s="3345"/>
      <c r="C62" s="816" t="s">
        <v>617</v>
      </c>
      <c r="D62" s="816" t="s">
        <v>618</v>
      </c>
      <c r="E62" s="893">
        <v>0.5</v>
      </c>
      <c r="F62" s="880">
        <v>80</v>
      </c>
    </row>
    <row r="63" spans="1:8" s="876" customFormat="1" ht="36">
      <c r="A63" s="880">
        <v>3</v>
      </c>
      <c r="B63" s="3345"/>
      <c r="C63" s="816" t="s">
        <v>619</v>
      </c>
      <c r="D63" s="816" t="s">
        <v>620</v>
      </c>
      <c r="E63" s="893">
        <v>0.5</v>
      </c>
      <c r="F63" s="880">
        <v>80</v>
      </c>
    </row>
    <row r="64" spans="1:8" s="876" customFormat="1" ht="36">
      <c r="A64" s="880">
        <v>4</v>
      </c>
      <c r="B64" s="3345"/>
      <c r="C64" s="816" t="s">
        <v>621</v>
      </c>
      <c r="D64" s="816" t="s">
        <v>622</v>
      </c>
      <c r="E64" s="893">
        <v>0.4</v>
      </c>
      <c r="F64" s="880">
        <v>60</v>
      </c>
    </row>
    <row r="65" spans="1:6" s="876" customFormat="1" ht="36">
      <c r="A65" s="880">
        <v>5</v>
      </c>
      <c r="B65" s="3345"/>
      <c r="C65" s="816" t="s">
        <v>623</v>
      </c>
      <c r="D65" s="816" t="s">
        <v>624</v>
      </c>
      <c r="E65" s="893">
        <v>0.2</v>
      </c>
      <c r="F65" s="880">
        <v>30</v>
      </c>
    </row>
    <row r="66" spans="1:6" s="876" customFormat="1" ht="36">
      <c r="A66" s="880">
        <v>6</v>
      </c>
      <c r="B66" s="3345"/>
      <c r="C66" s="816" t="s">
        <v>625</v>
      </c>
      <c r="D66" s="816" t="s">
        <v>626</v>
      </c>
      <c r="E66" s="893">
        <v>0.3</v>
      </c>
      <c r="F66" s="880">
        <v>50</v>
      </c>
    </row>
    <row r="67" spans="1:6" s="876" customFormat="1" ht="36">
      <c r="A67" s="880">
        <v>7</v>
      </c>
      <c r="B67" s="3345"/>
      <c r="C67" s="816" t="s">
        <v>627</v>
      </c>
      <c r="D67" s="816" t="s">
        <v>628</v>
      </c>
      <c r="E67" s="893">
        <v>0.2</v>
      </c>
      <c r="F67" s="880">
        <v>30</v>
      </c>
    </row>
    <row r="68" spans="1:6" s="876" customFormat="1" ht="36">
      <c r="A68" s="880">
        <v>8</v>
      </c>
      <c r="B68" s="3345"/>
      <c r="C68" s="816" t="s">
        <v>629</v>
      </c>
      <c r="D68" s="816" t="s">
        <v>630</v>
      </c>
      <c r="E68" s="893">
        <v>0.2</v>
      </c>
      <c r="F68" s="880">
        <v>30</v>
      </c>
    </row>
    <row r="69" spans="1:6" s="876" customFormat="1" ht="36">
      <c r="A69" s="880">
        <v>9</v>
      </c>
      <c r="B69" s="3345"/>
      <c r="C69" s="816" t="s">
        <v>631</v>
      </c>
      <c r="D69" s="816" t="s">
        <v>632</v>
      </c>
      <c r="E69" s="893">
        <v>0.2</v>
      </c>
      <c r="F69" s="880">
        <v>30</v>
      </c>
    </row>
    <row r="70" spans="1:6" s="876" customFormat="1" ht="48">
      <c r="A70" s="880">
        <v>10</v>
      </c>
      <c r="B70" s="3345"/>
      <c r="C70" s="816" t="s">
        <v>633</v>
      </c>
      <c r="D70" s="816" t="s">
        <v>634</v>
      </c>
      <c r="E70" s="893">
        <v>0.2</v>
      </c>
      <c r="F70" s="880">
        <v>30</v>
      </c>
    </row>
    <row r="71" spans="1:6" s="876" customFormat="1" ht="48">
      <c r="A71" s="880">
        <v>11</v>
      </c>
      <c r="B71" s="3345"/>
      <c r="C71" s="816" t="s">
        <v>635</v>
      </c>
      <c r="D71" s="816" t="s">
        <v>636</v>
      </c>
      <c r="E71" s="893">
        <v>0.2</v>
      </c>
      <c r="F71" s="880">
        <v>30</v>
      </c>
    </row>
    <row r="72" spans="1:6" s="876" customFormat="1" ht="36">
      <c r="A72" s="880">
        <v>12</v>
      </c>
      <c r="B72" s="3345"/>
      <c r="C72" s="816" t="s">
        <v>637</v>
      </c>
      <c r="D72" s="816" t="s">
        <v>638</v>
      </c>
      <c r="E72" s="893">
        <v>0.5</v>
      </c>
      <c r="F72" s="880">
        <v>80</v>
      </c>
    </row>
    <row r="73" spans="1:6" s="876" customFormat="1" ht="24">
      <c r="A73" s="880">
        <v>13</v>
      </c>
      <c r="B73" s="3345"/>
      <c r="C73" s="816" t="s">
        <v>639</v>
      </c>
      <c r="D73" s="816" t="s">
        <v>640</v>
      </c>
      <c r="E73" s="893">
        <v>0.4</v>
      </c>
      <c r="F73" s="880">
        <v>60</v>
      </c>
    </row>
    <row r="74" spans="1:6" s="876" customFormat="1" ht="24">
      <c r="A74" s="880">
        <v>14</v>
      </c>
      <c r="B74" s="3345"/>
      <c r="C74" s="816" t="s">
        <v>641</v>
      </c>
      <c r="D74" s="816" t="s">
        <v>642</v>
      </c>
      <c r="E74" s="893">
        <v>0.2</v>
      </c>
      <c r="F74" s="880">
        <v>30</v>
      </c>
    </row>
    <row r="75" spans="1:6" s="876" customFormat="1" ht="24">
      <c r="A75" s="880">
        <v>15</v>
      </c>
      <c r="B75" s="3345"/>
      <c r="C75" s="816" t="s">
        <v>643</v>
      </c>
      <c r="D75" s="816" t="s">
        <v>644</v>
      </c>
      <c r="E75" s="893">
        <v>0.2</v>
      </c>
      <c r="F75" s="880">
        <v>30</v>
      </c>
    </row>
    <row r="76" spans="1:6" s="876" customFormat="1" ht="24">
      <c r="A76" s="880">
        <v>16</v>
      </c>
      <c r="B76" s="3345" t="s">
        <v>645</v>
      </c>
      <c r="C76" s="816" t="s">
        <v>646</v>
      </c>
      <c r="D76" s="816" t="s">
        <v>647</v>
      </c>
      <c r="E76" s="893">
        <v>0.5</v>
      </c>
      <c r="F76" s="880">
        <v>80</v>
      </c>
    </row>
    <row r="77" spans="1:6" s="876" customFormat="1" ht="24">
      <c r="A77" s="880">
        <v>17</v>
      </c>
      <c r="B77" s="3345"/>
      <c r="C77" s="816" t="s">
        <v>648</v>
      </c>
      <c r="D77" s="816" t="s">
        <v>649</v>
      </c>
      <c r="E77" s="893">
        <v>0.5</v>
      </c>
      <c r="F77" s="880">
        <v>80</v>
      </c>
    </row>
    <row r="78" spans="1:6" s="876" customFormat="1" ht="24">
      <c r="A78" s="880">
        <v>18</v>
      </c>
      <c r="B78" s="3345"/>
      <c r="C78" s="816" t="s">
        <v>650</v>
      </c>
      <c r="D78" s="816" t="s">
        <v>651</v>
      </c>
      <c r="E78" s="893">
        <v>0.2</v>
      </c>
      <c r="F78" s="880">
        <v>30</v>
      </c>
    </row>
    <row r="79" spans="1:6" s="876" customFormat="1" ht="24">
      <c r="A79" s="880">
        <v>19</v>
      </c>
      <c r="B79" s="3345"/>
      <c r="C79" s="816" t="s">
        <v>652</v>
      </c>
      <c r="D79" s="816" t="s">
        <v>653</v>
      </c>
      <c r="E79" s="893">
        <v>0.5</v>
      </c>
      <c r="F79" s="880">
        <v>80</v>
      </c>
    </row>
    <row r="80" spans="1:6" s="876" customFormat="1" ht="36">
      <c r="A80" s="880">
        <v>20</v>
      </c>
      <c r="B80" s="3345"/>
      <c r="C80" s="816" t="s">
        <v>654</v>
      </c>
      <c r="D80" s="816" t="s">
        <v>655</v>
      </c>
      <c r="E80" s="893">
        <v>0.2</v>
      </c>
      <c r="F80" s="880">
        <v>30</v>
      </c>
    </row>
    <row r="81" spans="1:6" s="876" customFormat="1" ht="36">
      <c r="A81" s="880">
        <v>21</v>
      </c>
      <c r="B81" s="3345"/>
      <c r="C81" s="816" t="s">
        <v>656</v>
      </c>
      <c r="D81" s="816" t="s">
        <v>657</v>
      </c>
      <c r="E81" s="893">
        <v>0.2</v>
      </c>
      <c r="F81" s="880">
        <v>30</v>
      </c>
    </row>
    <row r="82" spans="1:6" s="876" customFormat="1" ht="48">
      <c r="A82" s="880">
        <v>22</v>
      </c>
      <c r="B82" s="3345"/>
      <c r="C82" s="816" t="s">
        <v>658</v>
      </c>
      <c r="D82" s="816" t="s">
        <v>659</v>
      </c>
      <c r="E82" s="893">
        <v>0.2</v>
      </c>
      <c r="F82" s="880">
        <v>30</v>
      </c>
    </row>
    <row r="83" spans="1:6" s="876" customFormat="1" ht="48">
      <c r="A83" s="880">
        <v>23</v>
      </c>
      <c r="B83" s="3345"/>
      <c r="C83" s="816" t="s">
        <v>660</v>
      </c>
      <c r="D83" s="816" t="s">
        <v>661</v>
      </c>
      <c r="E83" s="893">
        <v>0.2</v>
      </c>
      <c r="F83" s="880">
        <v>30</v>
      </c>
    </row>
    <row r="84" spans="1:6" s="876" customFormat="1" ht="36">
      <c r="A84" s="880">
        <v>24</v>
      </c>
      <c r="B84" s="3345"/>
      <c r="C84" s="816" t="s">
        <v>662</v>
      </c>
      <c r="D84" s="816" t="s">
        <v>663</v>
      </c>
      <c r="E84" s="893">
        <v>0.2</v>
      </c>
      <c r="F84" s="880">
        <v>30</v>
      </c>
    </row>
    <row r="85" spans="1:6" s="876" customFormat="1" ht="36">
      <c r="A85" s="880">
        <v>25</v>
      </c>
      <c r="B85" s="3345"/>
      <c r="C85" s="816" t="s">
        <v>664</v>
      </c>
      <c r="D85" s="816" t="s">
        <v>665</v>
      </c>
      <c r="E85" s="893">
        <v>0.5</v>
      </c>
      <c r="F85" s="880">
        <v>80</v>
      </c>
    </row>
    <row r="86" spans="1:6" s="876" customFormat="1" ht="36">
      <c r="A86" s="880">
        <v>26</v>
      </c>
      <c r="B86" s="3345"/>
      <c r="C86" s="816" t="s">
        <v>666</v>
      </c>
      <c r="D86" s="816" t="s">
        <v>667</v>
      </c>
      <c r="E86" s="893">
        <v>0.2</v>
      </c>
      <c r="F86" s="880">
        <v>30</v>
      </c>
    </row>
    <row r="87" spans="1:6" s="876" customFormat="1" ht="36">
      <c r="A87" s="880">
        <v>27</v>
      </c>
      <c r="B87" s="3345"/>
      <c r="C87" s="816" t="s">
        <v>668</v>
      </c>
      <c r="D87" s="816" t="s">
        <v>669</v>
      </c>
      <c r="E87" s="893">
        <v>0.2</v>
      </c>
      <c r="F87" s="880">
        <v>30</v>
      </c>
    </row>
    <row r="88" spans="1:6" s="876" customFormat="1" ht="36">
      <c r="A88" s="880">
        <v>28</v>
      </c>
      <c r="B88" s="3345"/>
      <c r="C88" s="816" t="s">
        <v>670</v>
      </c>
      <c r="D88" s="816" t="s">
        <v>671</v>
      </c>
      <c r="E88" s="893">
        <v>0.2</v>
      </c>
      <c r="F88" s="880">
        <v>30</v>
      </c>
    </row>
    <row r="89" spans="1:6" s="876" customFormat="1" ht="24">
      <c r="A89" s="880">
        <v>29</v>
      </c>
      <c r="B89" s="3345"/>
      <c r="C89" s="816" t="s">
        <v>672</v>
      </c>
      <c r="D89" s="816" t="s">
        <v>673</v>
      </c>
      <c r="E89" s="893">
        <v>0.2</v>
      </c>
      <c r="F89" s="880">
        <v>30</v>
      </c>
    </row>
    <row r="90" spans="1:6" s="876" customFormat="1" ht="24">
      <c r="A90" s="880">
        <v>30</v>
      </c>
      <c r="B90" s="3345"/>
      <c r="C90" s="816" t="s">
        <v>674</v>
      </c>
      <c r="D90" s="816" t="s">
        <v>675</v>
      </c>
      <c r="E90" s="893">
        <v>0.2</v>
      </c>
      <c r="F90" s="880">
        <v>30</v>
      </c>
    </row>
    <row r="91" spans="1:6" s="876" customFormat="1" ht="36">
      <c r="A91" s="880">
        <v>31</v>
      </c>
      <c r="B91" s="3345"/>
      <c r="C91" s="816" t="s">
        <v>676</v>
      </c>
      <c r="D91" s="816" t="s">
        <v>677</v>
      </c>
      <c r="E91" s="893">
        <v>0.2</v>
      </c>
      <c r="F91" s="880">
        <v>30</v>
      </c>
    </row>
    <row r="92" spans="1:6" s="876" customFormat="1" ht="24">
      <c r="A92" s="880">
        <v>32</v>
      </c>
      <c r="B92" s="3345" t="s">
        <v>678</v>
      </c>
      <c r="C92" s="880" t="s">
        <v>679</v>
      </c>
      <c r="D92" s="816" t="s">
        <v>680</v>
      </c>
      <c r="E92" s="893">
        <v>0.2</v>
      </c>
      <c r="F92" s="880">
        <v>30</v>
      </c>
    </row>
    <row r="93" spans="1:6" s="876" customFormat="1" ht="36">
      <c r="A93" s="880">
        <v>33</v>
      </c>
      <c r="B93" s="3345"/>
      <c r="C93" s="880" t="s">
        <v>681</v>
      </c>
      <c r="D93" s="816" t="s">
        <v>682</v>
      </c>
      <c r="E93" s="893">
        <v>0.2</v>
      </c>
      <c r="F93" s="880">
        <v>30</v>
      </c>
    </row>
    <row r="94" spans="1:6" s="876" customFormat="1" ht="48">
      <c r="A94" s="880">
        <v>34</v>
      </c>
      <c r="B94" s="3345"/>
      <c r="C94" s="880" t="s">
        <v>683</v>
      </c>
      <c r="D94" s="816" t="s">
        <v>684</v>
      </c>
      <c r="E94" s="893">
        <v>0.2</v>
      </c>
      <c r="F94" s="880">
        <v>30</v>
      </c>
    </row>
    <row r="95" spans="1:6" s="876" customFormat="1" ht="36">
      <c r="A95" s="880">
        <v>35</v>
      </c>
      <c r="B95" s="3345"/>
      <c r="C95" s="880" t="s">
        <v>685</v>
      </c>
      <c r="D95" s="816" t="s">
        <v>686</v>
      </c>
      <c r="E95" s="893">
        <v>0.2</v>
      </c>
      <c r="F95" s="880">
        <v>30</v>
      </c>
    </row>
    <row r="96" spans="1:6" s="876" customFormat="1" ht="48">
      <c r="A96" s="880">
        <v>36</v>
      </c>
      <c r="B96" s="3345"/>
      <c r="C96" s="816" t="s">
        <v>687</v>
      </c>
      <c r="D96" s="816" t="s">
        <v>688</v>
      </c>
      <c r="E96" s="893">
        <v>0.2</v>
      </c>
      <c r="F96" s="880">
        <v>30</v>
      </c>
    </row>
    <row r="97" spans="1:6" s="876" customFormat="1" ht="36">
      <c r="A97" s="880">
        <v>37</v>
      </c>
      <c r="B97" s="3345"/>
      <c r="C97" s="880" t="s">
        <v>689</v>
      </c>
      <c r="D97" s="816" t="s">
        <v>690</v>
      </c>
      <c r="E97" s="893">
        <v>0.2</v>
      </c>
      <c r="F97" s="880">
        <v>30</v>
      </c>
    </row>
    <row r="98" spans="1:6" s="876" customFormat="1" ht="36">
      <c r="A98" s="880">
        <v>38</v>
      </c>
      <c r="B98" s="3345"/>
      <c r="C98" s="880" t="s">
        <v>691</v>
      </c>
      <c r="D98" s="816" t="s">
        <v>692</v>
      </c>
      <c r="E98" s="893">
        <v>0.2</v>
      </c>
      <c r="F98" s="880">
        <v>30</v>
      </c>
    </row>
    <row r="99" spans="1:6" s="876" customFormat="1" ht="36">
      <c r="A99" s="880">
        <v>39</v>
      </c>
      <c r="B99" s="3345" t="s">
        <v>693</v>
      </c>
      <c r="C99" s="880" t="s">
        <v>694</v>
      </c>
      <c r="D99" s="816" t="s">
        <v>695</v>
      </c>
      <c r="E99" s="893">
        <v>0.3</v>
      </c>
      <c r="F99" s="880">
        <v>50</v>
      </c>
    </row>
    <row r="100" spans="1:6" s="876" customFormat="1" ht="24">
      <c r="A100" s="880">
        <v>40</v>
      </c>
      <c r="B100" s="3345"/>
      <c r="C100" s="880" t="s">
        <v>696</v>
      </c>
      <c r="D100" s="816" t="s">
        <v>697</v>
      </c>
      <c r="E100" s="893">
        <v>0.2</v>
      </c>
      <c r="F100" s="880">
        <v>30</v>
      </c>
    </row>
    <row r="101" spans="1:6" s="876" customFormat="1" ht="36">
      <c r="A101" s="880">
        <v>41</v>
      </c>
      <c r="B101" s="334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45" t="s">
        <v>708</v>
      </c>
      <c r="C105" s="880" t="s">
        <v>709</v>
      </c>
      <c r="D105" s="816" t="s">
        <v>710</v>
      </c>
      <c r="E105" s="893">
        <v>0.2</v>
      </c>
      <c r="F105" s="880">
        <v>30</v>
      </c>
    </row>
    <row r="106" spans="1:6" s="876" customFormat="1" ht="36">
      <c r="A106" s="880">
        <v>46</v>
      </c>
      <c r="B106" s="3345"/>
      <c r="C106" s="880" t="s">
        <v>711</v>
      </c>
      <c r="D106" s="816" t="s">
        <v>712</v>
      </c>
      <c r="E106" s="893">
        <v>0.2</v>
      </c>
      <c r="F106" s="880">
        <v>30</v>
      </c>
    </row>
    <row r="107" spans="1:6" s="876" customFormat="1" ht="36">
      <c r="A107" s="880">
        <v>47</v>
      </c>
      <c r="B107" s="3345" t="s">
        <v>713</v>
      </c>
      <c r="C107" s="880" t="s">
        <v>714</v>
      </c>
      <c r="D107" s="816" t="s">
        <v>715</v>
      </c>
      <c r="E107" s="893">
        <v>0.3</v>
      </c>
      <c r="F107" s="880">
        <v>50</v>
      </c>
    </row>
    <row r="108" spans="1:6" s="876" customFormat="1" ht="36">
      <c r="A108" s="880">
        <v>48</v>
      </c>
      <c r="B108" s="334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45" t="s">
        <v>724</v>
      </c>
      <c r="C111" s="880" t="s">
        <v>725</v>
      </c>
      <c r="D111" s="816" t="s">
        <v>726</v>
      </c>
      <c r="E111" s="893">
        <v>0.2</v>
      </c>
      <c r="F111" s="880">
        <v>30</v>
      </c>
    </row>
    <row r="112" spans="1:6" s="876" customFormat="1" ht="24">
      <c r="A112" s="880">
        <v>52</v>
      </c>
      <c r="B112" s="3345"/>
      <c r="C112" s="880" t="s">
        <v>727</v>
      </c>
      <c r="D112" s="816" t="s">
        <v>728</v>
      </c>
      <c r="E112" s="893">
        <v>0.2</v>
      </c>
      <c r="F112" s="880">
        <v>30</v>
      </c>
    </row>
    <row r="113" spans="1:6" s="876" customFormat="1" ht="24">
      <c r="A113" s="880">
        <v>53</v>
      </c>
      <c r="B113" s="334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45" t="s">
        <v>737</v>
      </c>
      <c r="C116" s="880" t="s">
        <v>738</v>
      </c>
      <c r="D116" s="816" t="s">
        <v>739</v>
      </c>
      <c r="E116" s="893">
        <v>0.2</v>
      </c>
      <c r="F116" s="880">
        <v>30</v>
      </c>
    </row>
    <row r="117" spans="1:6" ht="36">
      <c r="A117" s="880">
        <v>57</v>
      </c>
      <c r="B117" s="334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估价结果一览表（市场价值不需“结果表-1”）</v>
      </c>
      <c r="B3" s="3041"/>
      <c r="C3" s="3041"/>
      <c r="D3" s="3041"/>
      <c r="E3" s="3041"/>
    </row>
    <row r="4" spans="1:5" ht="19.5" thickBot="1">
      <c r="A4" s="1959"/>
      <c r="B4" s="3039" t="s">
        <v>1626</v>
      </c>
      <c r="C4" s="3039"/>
      <c r="D4" s="3039"/>
      <c r="E4" s="1959"/>
    </row>
    <row r="5" spans="1:5" ht="16.5" thickTop="1">
      <c r="A5" s="1957"/>
      <c r="B5" s="3037" t="s">
        <v>1618</v>
      </c>
      <c r="C5" s="1960" t="s">
        <v>1619</v>
      </c>
      <c r="D5" s="1041">
        <f ca="1">结果表!H101</f>
        <v>74484</v>
      </c>
      <c r="E5" s="1957"/>
    </row>
    <row r="6" spans="1:5" ht="15.75">
      <c r="A6" s="1957"/>
      <c r="B6" s="3037"/>
      <c r="C6" s="1960" t="s">
        <v>1620</v>
      </c>
      <c r="D6" s="1041" t="str">
        <f ca="1">NUMBERSTRING(INT(D5*10000),2)&amp;"元整"</f>
        <v>柒亿肆仟肆佰捌拾肆万元整</v>
      </c>
      <c r="E6" s="1957"/>
    </row>
    <row r="7" spans="1:5" ht="15.75">
      <c r="A7" s="1957"/>
      <c r="B7" s="3042"/>
      <c r="C7" s="1961" t="s">
        <v>1621</v>
      </c>
      <c r="D7" s="1042">
        <f ca="1">结果表!H102</f>
        <v>23417</v>
      </c>
      <c r="E7" s="1957"/>
    </row>
    <row r="8" spans="1:5" ht="15.75">
      <c r="A8" s="1957"/>
      <c r="B8" s="3043" t="str">
        <f>结果表!E103</f>
        <v>2.估价师知悉的法定优先受偿款</v>
      </c>
      <c r="C8" s="1962" t="s">
        <v>1622</v>
      </c>
      <c r="D8" s="1042">
        <f>结果表!H103</f>
        <v>0</v>
      </c>
      <c r="E8" s="1957"/>
    </row>
    <row r="9" spans="1:5" ht="15.75">
      <c r="A9" s="1957"/>
      <c r="B9" s="3045"/>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6" t="str">
        <f>结果表!E107</f>
        <v>3.房地产抵押价值</v>
      </c>
      <c r="C13" s="1965" t="s">
        <v>1619</v>
      </c>
      <c r="D13" s="1044">
        <f ca="1">结果表!H107</f>
        <v>74484</v>
      </c>
      <c r="E13" s="1957"/>
    </row>
    <row r="14" spans="1:5" ht="15.75">
      <c r="A14" s="1957"/>
      <c r="B14" s="3037"/>
      <c r="C14" s="1960" t="s">
        <v>1620</v>
      </c>
      <c r="D14" s="1041" t="str">
        <f ca="1">NUMBERSTRING(INT(D13*10000),2)&amp;"元整"</f>
        <v>柒亿肆仟肆佰捌拾肆万元整</v>
      </c>
      <c r="E14" s="1957"/>
    </row>
    <row r="15" spans="1:5" ht="15">
      <c r="A15" s="1957"/>
      <c r="B15" s="3042"/>
      <c r="C15" s="1961" t="s">
        <v>1630</v>
      </c>
      <c r="D15" s="1053">
        <f ca="1">结果表!H108</f>
        <v>11174</v>
      </c>
      <c r="E15" s="1957"/>
    </row>
    <row r="16" spans="1:5" ht="15">
      <c r="A16" s="1957"/>
      <c r="B16" s="3043" t="str">
        <f>结果表!E109</f>
        <v>——</v>
      </c>
      <c r="C16" s="1965" t="s">
        <v>1631</v>
      </c>
      <c r="D16" s="1966" t="str">
        <f>结果表!H109</f>
        <v>——</v>
      </c>
      <c r="E16" s="1957"/>
    </row>
    <row r="17" spans="1:5" ht="15.75">
      <c r="A17" s="1957"/>
      <c r="B17" s="3044"/>
      <c r="C17" s="1960" t="s">
        <v>1632</v>
      </c>
      <c r="D17" s="1041" t="e">
        <f>NUMBERSTRING(INT(D16*10000),2)&amp;"元整"</f>
        <v>#VALUE!</v>
      </c>
      <c r="E17" s="1957"/>
    </row>
    <row r="18" spans="1:5" ht="15">
      <c r="A18" s="1957"/>
      <c r="B18" s="3045"/>
      <c r="C18" s="1961" t="s">
        <v>1621</v>
      </c>
      <c r="D18" s="1053" t="str">
        <f>结果表!H110</f>
        <v>——</v>
      </c>
      <c r="E18" s="1957"/>
    </row>
    <row r="19" spans="1:5" ht="15.75">
      <c r="A19" s="1957"/>
      <c r="B19" s="3036" t="str">
        <f>结果表!E111</f>
        <v>——</v>
      </c>
      <c r="C19" s="1965" t="s">
        <v>1619</v>
      </c>
      <c r="D19" s="1042" t="str">
        <f>结果表!H111</f>
        <v>——</v>
      </c>
      <c r="E19" s="1957"/>
    </row>
    <row r="20" spans="1:5" ht="15.75">
      <c r="A20" s="1957"/>
      <c r="B20" s="3037"/>
      <c r="C20" s="1960" t="s">
        <v>1632</v>
      </c>
      <c r="D20" s="1041" t="e">
        <f>NUMBERSTRING(INT(D19*10000),2)&amp;"元整"</f>
        <v>#VALUE!</v>
      </c>
      <c r="E20" s="1957"/>
    </row>
    <row r="21" spans="1:5" ht="15.75" thickBot="1">
      <c r="A21" s="1957"/>
      <c r="B21" s="3038"/>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0</v>
      </c>
      <c r="C2" s="2910" t="s">
        <v>2996</v>
      </c>
      <c r="D2" s="2910" t="s">
        <v>2997</v>
      </c>
      <c r="E2" s="2911">
        <f ca="1">SUMIF(E6:E13,"&lt;&gt;#ref!",E6:E13)</f>
        <v>31807.97</v>
      </c>
    </row>
    <row r="3" spans="1:5" ht="15.75">
      <c r="A3" s="2910" t="s">
        <v>2998</v>
      </c>
      <c r="B3" s="2911">
        <f ca="1">ROUND(B2*10000/E2,0)</f>
        <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0</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1" t="s">
        <v>1146</v>
      </c>
      <c r="C1" s="3351"/>
      <c r="D1" s="3351"/>
      <c r="E1" s="3351"/>
      <c r="F1" s="3351"/>
      <c r="G1" s="3347" t="s">
        <v>1147</v>
      </c>
      <c r="H1" s="3347"/>
      <c r="I1" s="3347"/>
      <c r="J1" s="3347"/>
      <c r="K1" s="3347"/>
      <c r="L1" s="3347"/>
      <c r="N1" s="3347" t="s">
        <v>1148</v>
      </c>
      <c r="O1" s="3347"/>
      <c r="P1" s="3347"/>
      <c r="Q1" s="3347"/>
      <c r="R1" s="1447"/>
      <c r="S1" s="3347" t="s">
        <v>1149</v>
      </c>
      <c r="T1" s="3347"/>
      <c r="U1" s="3347"/>
      <c r="V1" s="3347"/>
      <c r="X1" s="3346" t="s">
        <v>1150</v>
      </c>
      <c r="Y1" s="3347"/>
      <c r="Z1" s="3347"/>
      <c r="AA1" s="3347"/>
      <c r="AB1" s="3347"/>
      <c r="AD1" s="3346" t="s">
        <v>1151</v>
      </c>
      <c r="AE1" s="3347"/>
      <c r="AF1" s="3347"/>
      <c r="AG1" s="3347"/>
      <c r="AH1" s="3347"/>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2">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49"/>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49"/>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50"/>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48">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49"/>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49"/>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50"/>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48">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49"/>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49"/>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50"/>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3">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54"/>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54"/>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55"/>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48">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49"/>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49"/>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50"/>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48">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49">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49">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50">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48">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49">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49">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50">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48">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49">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49">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50">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48">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49">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49">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50">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48">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49">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49">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50">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48">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49">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49">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50">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48">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49">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49">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50">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48">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49">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49">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50">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48">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49">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49">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50">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48">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49">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49">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50">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70" zoomScaleNormal="70" zoomScaleSheetLayoutView="90" workbookViewId="0">
      <selection activeCell="I40" sqref="I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44.68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66616</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20943</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3135</v>
      </c>
      <c r="D6" s="164" t="s">
        <v>3030</v>
      </c>
      <c r="E6" s="347" t="s">
        <v>1401</v>
      </c>
      <c r="F6" s="348">
        <f ca="1">INDIRECT("'数据-取费表'!u"&amp;$G$1)</f>
        <v>3</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1299" t="s">
        <v>1402</v>
      </c>
      <c r="F7" s="348">
        <f ca="1">IF(INDIRECT("'数据-取费表'!ah"&amp;$G$1)="",INDIRECT("'数据-取费表'!k"&amp;$G$1),INDIRECT("'数据-取费表'!ah"&amp;$G$1))</f>
        <v>31807.97</v>
      </c>
      <c r="G7" s="1849"/>
      <c r="H7" s="349"/>
      <c r="I7" s="3275"/>
      <c r="J7" s="351"/>
      <c r="K7" s="352"/>
      <c r="L7" s="347" t="s">
        <v>1402</v>
      </c>
      <c r="M7" s="348">
        <f ca="1">F7</f>
        <v>31807.97</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13712</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20.6</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66473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20898</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-90971</v>
      </c>
      <c r="D46" s="1870" t="str">
        <f>C2</f>
        <v>万元</v>
      </c>
      <c r="E46" s="1864"/>
      <c r="F46" s="1864"/>
      <c r="I46" s="1871" t="s">
        <v>1517</v>
      </c>
      <c r="J46" s="1872"/>
      <c r="K46" s="1873"/>
      <c r="L46" s="1874">
        <f ca="1">IF(M47="住宅",0,IF(L48&gt;J51,L60,J60))</f>
        <v>143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66473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143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23108</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7" t="s">
        <v>1544</v>
      </c>
      <c r="L53" s="3278"/>
      <c r="O53" s="1882" t="s">
        <v>1043</v>
      </c>
      <c r="P53" s="1883" t="s">
        <v>1545</v>
      </c>
      <c r="Q53" s="1884">
        <f ca="1">Q47+Q48</f>
        <v>66616</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0.23899999999999999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13712</v>
      </c>
      <c r="D56" s="1912"/>
      <c r="E56" s="1913"/>
      <c r="F56" s="1905"/>
      <c r="I56" s="1914" t="s">
        <v>1550</v>
      </c>
      <c r="J56" s="1915" t="s">
        <v>3076</v>
      </c>
      <c r="K56" s="1885" t="s">
        <v>1551</v>
      </c>
      <c r="L56" s="1888" t="str">
        <f ca="1">IF(L48&lt;J51,"——",L48-J53)</f>
        <v>——</v>
      </c>
      <c r="O56" s="1882" t="s">
        <v>1037</v>
      </c>
      <c r="P56" s="1883" t="s">
        <v>1524</v>
      </c>
      <c r="Q56" s="1884">
        <f ca="1">C40+J29</f>
        <v>66473</v>
      </c>
      <c r="R56" s="1884" t="s">
        <v>1525</v>
      </c>
    </row>
    <row r="57" spans="1:18" s="1840" customFormat="1" ht="24.75" thickBot="1">
      <c r="A57" s="1916"/>
      <c r="B57" s="1170" t="s">
        <v>1474</v>
      </c>
      <c r="C57" s="282">
        <f ca="1">C29</f>
        <v>13712</v>
      </c>
      <c r="D57" s="1917"/>
      <c r="E57" s="1918"/>
      <c r="F57" s="1919"/>
      <c r="I57" s="1920" t="s">
        <v>1552</v>
      </c>
      <c r="J57" s="1921">
        <f ca="1">IF(OR(M47="住宅",J51&lt;L48,J56="是"),"——",J51-L48)</f>
        <v>14.32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66473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20.6</v>
      </c>
      <c r="D65" s="1184" t="s">
        <v>1450</v>
      </c>
      <c r="E65" s="1170" t="s">
        <v>1451</v>
      </c>
      <c r="F65" s="376">
        <f t="shared" ca="1" si="0"/>
        <v>1.5E-3</v>
      </c>
      <c r="I65" s="1927" t="s">
        <v>1575</v>
      </c>
      <c r="J65" s="1928">
        <v>40</v>
      </c>
      <c r="K65" s="1928">
        <v>30</v>
      </c>
      <c r="L65" s="1928">
        <v>50</v>
      </c>
      <c r="M65" s="1930">
        <v>0.02</v>
      </c>
      <c r="O65" s="1882" t="s">
        <v>1037</v>
      </c>
      <c r="P65" s="1883" t="s">
        <v>1576</v>
      </c>
      <c r="Q65" s="1884">
        <f ca="1">C40+J29</f>
        <v>66473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23108</v>
      </c>
      <c r="R67" s="1884" t="s">
        <v>1578</v>
      </c>
    </row>
    <row r="68" spans="1:18" s="1840" customFormat="1" ht="16.5" thickBot="1">
      <c r="A68" s="1167" t="s">
        <v>1029</v>
      </c>
      <c r="B68" s="1168" t="s">
        <v>1481</v>
      </c>
      <c r="C68" s="346">
        <f ca="1">ROUND(C67*(1-((1+F70)/(1+F68))^F69)/(F68-F70),0)</f>
        <v>-24498</v>
      </c>
      <c r="D68" s="1185" t="s">
        <v>1465</v>
      </c>
      <c r="E68" s="1170" t="s">
        <v>1466</v>
      </c>
      <c r="F68" s="357">
        <f ca="1">F40</f>
        <v>0.05</v>
      </c>
      <c r="O68" s="1892" t="s">
        <v>1040</v>
      </c>
      <c r="P68" s="1932" t="s">
        <v>1579</v>
      </c>
      <c r="Q68" s="1884">
        <f ca="1">ROUND(Q69-Q70*Q71,0)</f>
        <v>1209</v>
      </c>
      <c r="R68" s="1884" t="s">
        <v>1048</v>
      </c>
    </row>
    <row r="69" spans="1:18" s="1840" customFormat="1" ht="13.5" thickBot="1">
      <c r="A69" s="1171"/>
      <c r="B69" s="1172"/>
      <c r="C69" s="351"/>
      <c r="D69" s="1190" t="s">
        <v>1469</v>
      </c>
      <c r="E69" s="1170" t="s">
        <v>1470</v>
      </c>
      <c r="F69" s="379">
        <f ca="1">F41</f>
        <v>44.68</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13712</v>
      </c>
      <c r="R70" s="1884" t="s">
        <v>1525</v>
      </c>
    </row>
    <row r="71" spans="1:18" s="1840" customFormat="1" ht="13.5" thickBot="1">
      <c r="A71" s="1191" t="s">
        <v>1030</v>
      </c>
      <c r="B71" s="1192" t="s">
        <v>1483</v>
      </c>
      <c r="C71" s="382">
        <f ca="1">ROUND(C68*10000/F71,0)</f>
        <v>-7702</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1097</v>
      </c>
      <c r="D75" s="1840"/>
      <c r="E75" s="1840"/>
      <c r="F75" s="1840"/>
      <c r="K75" s="1866"/>
      <c r="L75" s="1840"/>
      <c r="O75" s="1882" t="s">
        <v>1043</v>
      </c>
      <c r="P75" s="1883" t="s">
        <v>1545</v>
      </c>
      <c r="Q75" s="1884">
        <f ca="1">Q65+Q66</f>
        <v>66473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60185</v>
      </c>
      <c r="C2" s="2" t="s">
        <v>133</v>
      </c>
      <c r="D2" s="243"/>
      <c r="E2" s="243"/>
      <c r="F2" s="243"/>
      <c r="G2" s="243"/>
    </row>
    <row r="3" spans="1:7" s="244" customFormat="1" ht="18" customHeight="1" thickBot="1">
      <c r="A3" s="247" t="s">
        <v>85</v>
      </c>
      <c r="B3" s="248">
        <f ca="1">ROUND(B2*10000/'数据-汇总表'!E3,0)</f>
        <v>9029</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1" t="s">
        <v>121</v>
      </c>
    </row>
    <row r="43" spans="1:7" ht="13.5" customHeight="1">
      <c r="A43" s="952" t="s">
        <v>792</v>
      </c>
      <c r="B43" s="259" t="s">
        <v>1061</v>
      </c>
      <c r="C43" s="282">
        <f ca="1">ROUND(IF('数据-取费表'!B22&lt;=1,C39*F22*'数据-取费表'!B21/2,C39*(POWER((1+F22),'数据-取费表'!B21/2)-1)),0)</f>
        <v>20</v>
      </c>
      <c r="D43" s="282"/>
      <c r="E43" s="282"/>
      <c r="F43" s="283"/>
      <c r="G43" s="3222"/>
    </row>
    <row r="44" spans="1:7" ht="13.5" customHeight="1">
      <c r="A44" s="952" t="s">
        <v>793</v>
      </c>
      <c r="B44" s="259" t="s">
        <v>1063</v>
      </c>
      <c r="C44" s="282">
        <f ca="1">ROUND(IF('数据-取费表'!B22&lt;=1,C40*F22*'数据-取费表'!B21/2,C40*(POWER((1+F22),'数据-取费表'!B21/2)-1)),4)</f>
        <v>1E-3</v>
      </c>
      <c r="D44" s="282"/>
      <c r="E44" s="282"/>
      <c r="F44" s="283"/>
      <c r="G44" s="3223"/>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1</v>
      </c>
      <c r="G50" s="291" t="s">
        <v>125</v>
      </c>
    </row>
    <row r="51" spans="1:7" ht="16.5" customHeight="1">
      <c r="A51" s="949" t="s">
        <v>790</v>
      </c>
      <c r="B51" s="254" t="s">
        <v>132</v>
      </c>
      <c r="C51" s="276">
        <f ca="1">ROUND(C49*F50,0)</f>
        <v>28739</v>
      </c>
      <c r="D51" s="276"/>
      <c r="E51" s="276"/>
      <c r="F51" s="308"/>
      <c r="G51" s="278" t="s">
        <v>64</v>
      </c>
    </row>
    <row r="52" spans="1:7" s="252" customFormat="1" ht="16.5" thickBot="1">
      <c r="A52" s="309" t="s">
        <v>65</v>
      </c>
      <c r="B52" s="310"/>
      <c r="C52" s="311">
        <f ca="1">C31+C51</f>
        <v>60185</v>
      </c>
      <c r="D52" s="310"/>
      <c r="E52" s="310"/>
      <c r="F52" s="310"/>
      <c r="G52" s="312"/>
    </row>
    <row r="55" spans="1:7" ht="15">
      <c r="B55" s="314" t="s">
        <v>66</v>
      </c>
      <c r="C55" s="315"/>
    </row>
    <row r="56" spans="1:7">
      <c r="B56" s="317" t="s">
        <v>67</v>
      </c>
      <c r="C56" s="318">
        <f ca="1">ROUND(C51/C52,3)</f>
        <v>0.47799999999999998</v>
      </c>
    </row>
    <row r="57" spans="1:7">
      <c r="B57" s="317" t="s">
        <v>68</v>
      </c>
      <c r="C57" s="319">
        <f ca="1">1-C56</f>
        <v>0.52200000000000002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56" t="s">
        <v>156</v>
      </c>
      <c r="B1" s="3356"/>
      <c r="C1" s="3356"/>
      <c r="D1" s="3356"/>
      <c r="E1" s="3356"/>
      <c r="F1" s="335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57" t="s">
        <v>169</v>
      </c>
      <c r="B2" s="3357"/>
      <c r="C2" s="3357"/>
      <c r="D2" s="3357"/>
      <c r="E2" s="3357"/>
      <c r="F2" s="335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5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56" t="s">
        <v>868</v>
      </c>
      <c r="B1" s="3356"/>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43570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3307</v>
      </c>
      <c r="E1" s="1631"/>
      <c r="F1" s="2585" t="s">
        <v>3098</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3" t="s">
        <v>2537</v>
      </c>
      <c r="D4" s="3244"/>
      <c r="E4" s="3245" t="s">
        <v>2538</v>
      </c>
      <c r="F4" s="3246"/>
      <c r="G4" s="3243" t="s">
        <v>2539</v>
      </c>
      <c r="H4" s="3244"/>
      <c r="I4" s="3243" t="s">
        <v>2540</v>
      </c>
      <c r="J4" s="3244"/>
      <c r="K4" s="610" t="s">
        <v>2541</v>
      </c>
      <c r="L4" s="1131"/>
      <c r="M4" s="1132"/>
      <c r="N4" s="1132"/>
      <c r="O4" s="1132"/>
      <c r="P4" s="3307" t="s">
        <v>2542</v>
      </c>
      <c r="Q4" s="3308"/>
      <c r="R4" s="3302" t="s">
        <v>2538</v>
      </c>
      <c r="S4" s="3303"/>
      <c r="T4" s="3302" t="s">
        <v>2539</v>
      </c>
      <c r="U4" s="3303"/>
      <c r="V4" s="3311" t="s">
        <v>2540</v>
      </c>
      <c r="W4" s="3311"/>
      <c r="X4" s="3031"/>
      <c r="Y4" s="3302" t="s">
        <v>2542</v>
      </c>
      <c r="Z4" s="3303"/>
      <c r="AA4" s="3301" t="s">
        <v>2538</v>
      </c>
      <c r="AB4" s="3301" t="s">
        <v>2539</v>
      </c>
      <c r="AC4" s="3304" t="s">
        <v>2540</v>
      </c>
    </row>
    <row r="5" spans="1:29" ht="15">
      <c r="A5" s="404"/>
      <c r="B5" s="405"/>
      <c r="C5" s="3236" t="s">
        <v>2543</v>
      </c>
      <c r="D5" s="3237"/>
      <c r="E5" s="3234" t="str">
        <f>Sheet3!A26</f>
        <v>高教综合大楼</v>
      </c>
      <c r="F5" s="3235"/>
      <c r="G5" s="3236" t="str">
        <f>Sheet3!A27</f>
        <v>青年创业大厦</v>
      </c>
      <c r="H5" s="3237"/>
      <c r="I5" s="3236" t="str">
        <f>Sheet3!A28</f>
        <v>珠江摩派</v>
      </c>
      <c r="J5" s="3237"/>
      <c r="K5" s="610"/>
      <c r="L5" s="1131"/>
      <c r="M5" s="1132"/>
      <c r="N5" s="1132"/>
      <c r="O5" s="1132"/>
      <c r="P5" s="3309"/>
      <c r="Q5" s="3250"/>
      <c r="R5" s="3232"/>
      <c r="S5" s="3233"/>
      <c r="T5" s="3232"/>
      <c r="U5" s="3233"/>
      <c r="V5" s="3227"/>
      <c r="W5" s="3227"/>
      <c r="X5" s="3026"/>
      <c r="Y5" s="3232"/>
      <c r="Z5" s="3233"/>
      <c r="AA5" s="3225"/>
      <c r="AB5" s="3225"/>
      <c r="AC5" s="3305"/>
    </row>
    <row r="6" spans="1:29" ht="15.75" thickBot="1">
      <c r="A6" s="406"/>
      <c r="B6" s="407"/>
      <c r="C6" s="3238" t="s">
        <v>2547</v>
      </c>
      <c r="D6" s="3239"/>
      <c r="E6" s="3240" t="s">
        <v>2547</v>
      </c>
      <c r="F6" s="3241"/>
      <c r="G6" s="3238" t="s">
        <v>2547</v>
      </c>
      <c r="H6" s="3239"/>
      <c r="I6" s="3238" t="s">
        <v>2547</v>
      </c>
      <c r="J6" s="3239"/>
      <c r="K6" s="610" t="s">
        <v>2548</v>
      </c>
      <c r="L6" s="1131"/>
      <c r="M6" s="1132"/>
      <c r="N6" s="1132"/>
      <c r="O6" s="1132"/>
      <c r="P6" s="3310"/>
      <c r="Q6" s="3252"/>
      <c r="R6" s="3232"/>
      <c r="S6" s="3233"/>
      <c r="T6" s="3253"/>
      <c r="U6" s="3254"/>
      <c r="V6" s="3227"/>
      <c r="W6" s="3227"/>
      <c r="X6" s="3026"/>
      <c r="Y6" s="3253"/>
      <c r="Z6" s="3254"/>
      <c r="AA6" s="3226"/>
      <c r="AB6" s="3226"/>
      <c r="AC6" s="3306"/>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2" t="s">
        <v>2550</v>
      </c>
      <c r="Q7" s="3255"/>
      <c r="R7" s="768" t="s">
        <v>17</v>
      </c>
      <c r="S7" s="769">
        <f t="shared" ref="S7:S15" si="0">F7</f>
        <v>100</v>
      </c>
      <c r="T7" s="768" t="s">
        <v>17</v>
      </c>
      <c r="U7" s="769">
        <f t="shared" ref="U7:U15" si="1">H7</f>
        <v>100</v>
      </c>
      <c r="V7" s="768" t="s">
        <v>17</v>
      </c>
      <c r="W7" s="769">
        <f t="shared" ref="W7:W15" si="2">J7</f>
        <v>100</v>
      </c>
      <c r="X7" s="770"/>
      <c r="Y7" s="3228" t="s">
        <v>2550</v>
      </c>
      <c r="Z7" s="3229"/>
      <c r="AA7" s="771">
        <f>D7/F7</f>
        <v>1</v>
      </c>
      <c r="AB7" s="771">
        <f>D7/H7</f>
        <v>1</v>
      </c>
      <c r="AC7" s="2672">
        <f>D7/J7</f>
        <v>1</v>
      </c>
    </row>
    <row r="8" spans="1:29" s="117" customFormat="1" ht="15.75" thickBot="1">
      <c r="A8" s="408" t="s">
        <v>2551</v>
      </c>
      <c r="B8" s="409"/>
      <c r="C8" s="414" t="s">
        <v>2588</v>
      </c>
      <c r="D8" s="411">
        <v>100</v>
      </c>
      <c r="E8" s="2970" t="s">
        <v>3100</v>
      </c>
      <c r="F8" s="413">
        <f>SUMIF(62:62,E8,63:63)-SUMIF(62:62,C8,63:63)+100</f>
        <v>100</v>
      </c>
      <c r="G8" s="2970" t="s">
        <v>3100</v>
      </c>
      <c r="H8" s="411">
        <f>SUMIF(62:62,G8,63:63)-SUMIF(62:62,C8,63:63)+100</f>
        <v>100</v>
      </c>
      <c r="I8" s="2970" t="s">
        <v>3100</v>
      </c>
      <c r="J8" s="411">
        <f>SUMIF(62:62,I8,63:63)-SUMIF(62:62,C8,63:63)+100</f>
        <v>100</v>
      </c>
      <c r="K8" s="611"/>
      <c r="L8" s="1133"/>
      <c r="M8" s="1134"/>
      <c r="N8" s="1134"/>
      <c r="O8" s="1134"/>
      <c r="P8" s="3312" t="s">
        <v>2553</v>
      </c>
      <c r="Q8" s="3229"/>
      <c r="R8" s="768" t="s">
        <v>17</v>
      </c>
      <c r="S8" s="769">
        <f t="shared" si="0"/>
        <v>100</v>
      </c>
      <c r="T8" s="768" t="s">
        <v>17</v>
      </c>
      <c r="U8" s="769">
        <f t="shared" si="1"/>
        <v>100</v>
      </c>
      <c r="V8" s="768" t="s">
        <v>17</v>
      </c>
      <c r="W8" s="769">
        <f t="shared" si="2"/>
        <v>100</v>
      </c>
      <c r="X8" s="770"/>
      <c r="Y8" s="3228" t="s">
        <v>2553</v>
      </c>
      <c r="Z8" s="3229"/>
      <c r="AA8" s="771">
        <f t="shared" ref="AA8:AA47" si="3">D8/F8</f>
        <v>1</v>
      </c>
      <c r="AB8" s="771">
        <f t="shared" ref="AB8:AB47" si="4">D8/H8</f>
        <v>1</v>
      </c>
      <c r="AC8" s="2672">
        <f t="shared" ref="AC8:AC47" si="5">D8/J8</f>
        <v>1</v>
      </c>
    </row>
    <row r="9" spans="1:29" s="117" customFormat="1">
      <c r="A9" s="415" t="s">
        <v>2554</v>
      </c>
      <c r="B9" s="71" t="s">
        <v>2555</v>
      </c>
      <c r="C9" s="2971" t="s">
        <v>3318</v>
      </c>
      <c r="D9" s="135">
        <v>100</v>
      </c>
      <c r="E9" s="2972" t="s">
        <v>3101</v>
      </c>
      <c r="F9" s="135">
        <f>SUMIF(64:64,E9,65:65)-SUMIF(64:64,C9,65:65)+100</f>
        <v>105</v>
      </c>
      <c r="G9" s="2973" t="s">
        <v>3101</v>
      </c>
      <c r="H9" s="135">
        <f>SUMIF(64:64,G9,65:65)-SUMIF(64:64,C9,65:65)+100</f>
        <v>105</v>
      </c>
      <c r="I9" s="2973" t="s">
        <v>3101</v>
      </c>
      <c r="J9" s="135">
        <f>SUMIF(64:64,I9,65:65)-SUMIF(64:64,C9,65:65)+100</f>
        <v>105</v>
      </c>
      <c r="K9" s="611"/>
      <c r="L9" s="1133"/>
      <c r="M9" s="1134"/>
      <c r="N9" s="1134"/>
      <c r="O9" s="1134"/>
      <c r="P9" s="3242" t="s">
        <v>2556</v>
      </c>
      <c r="Q9" s="3005" t="str">
        <f t="shared" ref="Q9:Q15" si="6">B9</f>
        <v>用途</v>
      </c>
      <c r="R9" s="768" t="s">
        <v>17</v>
      </c>
      <c r="S9" s="769">
        <f t="shared" si="0"/>
        <v>105</v>
      </c>
      <c r="T9" s="768" t="s">
        <v>17</v>
      </c>
      <c r="U9" s="769">
        <f t="shared" si="1"/>
        <v>105</v>
      </c>
      <c r="V9" s="768" t="s">
        <v>17</v>
      </c>
      <c r="W9" s="769">
        <f t="shared" si="2"/>
        <v>105</v>
      </c>
      <c r="X9" s="770"/>
      <c r="Y9" s="3101"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3102</v>
      </c>
      <c r="D10" s="136">
        <v>100</v>
      </c>
      <c r="E10" s="423" t="s">
        <v>3102</v>
      </c>
      <c r="F10" s="136">
        <f>SUMIF(66:66,E10,67:67)-SUMIF(66:66,C10,67:67)+100</f>
        <v>100</v>
      </c>
      <c r="G10" s="424" t="s">
        <v>3102</v>
      </c>
      <c r="H10" s="136">
        <f>SUMIF(66:66,G10,67:67)-SUMIF(66:66,C10,67:67)+100</f>
        <v>100</v>
      </c>
      <c r="I10" s="423" t="s">
        <v>3102</v>
      </c>
      <c r="J10" s="136">
        <f>SUMIF(66:66,I10,67:67)-SUMIF(66:66,C10,67:67)+100</f>
        <v>100</v>
      </c>
      <c r="K10" s="612">
        <v>2</v>
      </c>
      <c r="L10" s="1136"/>
      <c r="M10" s="1137"/>
      <c r="N10" s="1137"/>
      <c r="O10" s="1137"/>
      <c r="P10" s="3242"/>
      <c r="Q10" s="3005" t="str">
        <f t="shared" si="6"/>
        <v>土地使用年限（年）</v>
      </c>
      <c r="R10" s="768" t="s">
        <v>17</v>
      </c>
      <c r="S10" s="769">
        <f t="shared" si="0"/>
        <v>100</v>
      </c>
      <c r="T10" s="768" t="s">
        <v>17</v>
      </c>
      <c r="U10" s="769">
        <f t="shared" si="1"/>
        <v>100</v>
      </c>
      <c r="V10" s="768" t="s">
        <v>17</v>
      </c>
      <c r="W10" s="769">
        <f t="shared" si="2"/>
        <v>100</v>
      </c>
      <c r="X10" s="770"/>
      <c r="Y10" s="3101"/>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2"/>
      <c r="Q11" s="3005" t="str">
        <f t="shared" si="6"/>
        <v>容积率</v>
      </c>
      <c r="R11" s="768" t="s">
        <v>17</v>
      </c>
      <c r="S11" s="769">
        <f t="shared" si="0"/>
        <v>100</v>
      </c>
      <c r="T11" s="768" t="s">
        <v>17</v>
      </c>
      <c r="U11" s="769">
        <f t="shared" si="1"/>
        <v>100</v>
      </c>
      <c r="V11" s="768" t="s">
        <v>17</v>
      </c>
      <c r="W11" s="769">
        <f t="shared" si="2"/>
        <v>100</v>
      </c>
      <c r="X11" s="770"/>
      <c r="Y11" s="3101"/>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2"/>
      <c r="Q12" s="3005">
        <f t="shared" si="6"/>
        <v>111</v>
      </c>
      <c r="R12" s="768" t="s">
        <v>17</v>
      </c>
      <c r="S12" s="769">
        <f t="shared" si="0"/>
        <v>100</v>
      </c>
      <c r="T12" s="768" t="s">
        <v>17</v>
      </c>
      <c r="U12" s="769">
        <f t="shared" si="1"/>
        <v>100</v>
      </c>
      <c r="V12" s="768" t="s">
        <v>17</v>
      </c>
      <c r="W12" s="769">
        <f t="shared" si="2"/>
        <v>100</v>
      </c>
      <c r="X12" s="770"/>
      <c r="Y12" s="3101"/>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2"/>
      <c r="Q13" s="3005">
        <f t="shared" si="6"/>
        <v>111</v>
      </c>
      <c r="R13" s="768" t="s">
        <v>17</v>
      </c>
      <c r="S13" s="769">
        <f t="shared" si="0"/>
        <v>100</v>
      </c>
      <c r="T13" s="768" t="s">
        <v>17</v>
      </c>
      <c r="U13" s="769">
        <f t="shared" si="1"/>
        <v>100</v>
      </c>
      <c r="V13" s="768" t="s">
        <v>17</v>
      </c>
      <c r="W13" s="769">
        <f t="shared" si="2"/>
        <v>100</v>
      </c>
      <c r="X13" s="770"/>
      <c r="Y13" s="3101"/>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2"/>
      <c r="Q14" s="3005">
        <f t="shared" si="6"/>
        <v>111</v>
      </c>
      <c r="R14" s="768" t="s">
        <v>17</v>
      </c>
      <c r="S14" s="769">
        <f t="shared" si="0"/>
        <v>100</v>
      </c>
      <c r="T14" s="768" t="s">
        <v>17</v>
      </c>
      <c r="U14" s="769">
        <f t="shared" si="1"/>
        <v>100</v>
      </c>
      <c r="V14" s="768" t="s">
        <v>17</v>
      </c>
      <c r="W14" s="769">
        <f t="shared" si="2"/>
        <v>100</v>
      </c>
      <c r="X14" s="770"/>
      <c r="Y14" s="3101"/>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6" t="s">
        <v>2561</v>
      </c>
      <c r="Q15" s="3028" t="str">
        <f t="shared" si="6"/>
        <v>办公集聚程度</v>
      </c>
      <c r="R15" s="772" t="s">
        <v>17</v>
      </c>
      <c r="S15" s="773">
        <f t="shared" si="0"/>
        <v>100</v>
      </c>
      <c r="T15" s="772" t="s">
        <v>17</v>
      </c>
      <c r="U15" s="773">
        <f t="shared" si="1"/>
        <v>100</v>
      </c>
      <c r="V15" s="772" t="s">
        <v>17</v>
      </c>
      <c r="W15" s="773">
        <f t="shared" si="2"/>
        <v>102</v>
      </c>
      <c r="X15" s="3026"/>
      <c r="Y15" s="3258" t="s">
        <v>2561</v>
      </c>
      <c r="Z15" s="3027" t="str">
        <f t="shared" si="7"/>
        <v>办公集聚程度</v>
      </c>
      <c r="AA15" s="3029">
        <f t="shared" si="3"/>
        <v>1</v>
      </c>
      <c r="AB15" s="3029">
        <f t="shared" si="4"/>
        <v>1</v>
      </c>
      <c r="AC15" s="2675">
        <f t="shared" si="5"/>
        <v>0.98039215686274506</v>
      </c>
    </row>
    <row r="16" spans="1:29" ht="15">
      <c r="A16" s="428"/>
      <c r="B16" s="630"/>
      <c r="C16" s="2612" t="s">
        <v>3103</v>
      </c>
      <c r="D16" s="448"/>
      <c r="E16" s="447" t="s">
        <v>3103</v>
      </c>
      <c r="F16" s="448"/>
      <c r="G16" s="2612" t="s">
        <v>3103</v>
      </c>
      <c r="H16" s="450"/>
      <c r="I16" s="447" t="s">
        <v>3093</v>
      </c>
      <c r="J16" s="448"/>
      <c r="K16" s="615"/>
      <c r="L16" s="1141"/>
      <c r="M16" s="1132"/>
      <c r="N16" s="1132"/>
      <c r="O16" s="1132"/>
      <c r="P16" s="3257"/>
      <c r="Q16" s="3028"/>
      <c r="R16" s="772"/>
      <c r="S16" s="773"/>
      <c r="T16" s="772"/>
      <c r="U16" s="773"/>
      <c r="V16" s="772"/>
      <c r="W16" s="773"/>
      <c r="X16" s="3026"/>
      <c r="Y16" s="3259"/>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57"/>
      <c r="Q17" s="3028" t="str">
        <f>B17</f>
        <v>交通便捷度</v>
      </c>
      <c r="R17" s="772" t="s">
        <v>17</v>
      </c>
      <c r="S17" s="773">
        <f>F17</f>
        <v>100</v>
      </c>
      <c r="T17" s="772" t="s">
        <v>17</v>
      </c>
      <c r="U17" s="773">
        <f>H17</f>
        <v>100</v>
      </c>
      <c r="V17" s="772" t="s">
        <v>17</v>
      </c>
      <c r="W17" s="773">
        <f>J17</f>
        <v>100</v>
      </c>
      <c r="X17" s="3026"/>
      <c r="Y17" s="3259"/>
      <c r="Z17" s="3027" t="str">
        <f>Q17</f>
        <v>交通便捷度</v>
      </c>
      <c r="AA17" s="3029">
        <f t="shared" si="3"/>
        <v>1</v>
      </c>
      <c r="AB17" s="3029">
        <f t="shared" si="4"/>
        <v>1</v>
      </c>
      <c r="AC17" s="2675">
        <f t="shared" si="5"/>
        <v>1</v>
      </c>
    </row>
    <row r="18" spans="1:29" ht="15">
      <c r="A18" s="428"/>
      <c r="B18" s="632"/>
      <c r="C18" s="2974" t="s">
        <v>3107</v>
      </c>
      <c r="D18" s="450"/>
      <c r="E18" s="2975" t="s">
        <v>3107</v>
      </c>
      <c r="F18" s="450"/>
      <c r="G18" s="2976" t="s">
        <v>3107</v>
      </c>
      <c r="H18" s="448"/>
      <c r="I18" s="2976" t="s">
        <v>3107</v>
      </c>
      <c r="J18" s="448"/>
      <c r="K18" s="615"/>
      <c r="L18" s="1141"/>
      <c r="M18" s="1132"/>
      <c r="N18" s="1132"/>
      <c r="O18" s="1132"/>
      <c r="P18" s="3257"/>
      <c r="Q18" s="3028"/>
      <c r="R18" s="772"/>
      <c r="S18" s="773"/>
      <c r="T18" s="772"/>
      <c r="U18" s="773"/>
      <c r="V18" s="772"/>
      <c r="W18" s="773"/>
      <c r="X18" s="3026"/>
      <c r="Y18" s="3259"/>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57"/>
      <c r="Q19" s="3028" t="str">
        <f>B19</f>
        <v>公共配套设施</v>
      </c>
      <c r="R19" s="772" t="s">
        <v>17</v>
      </c>
      <c r="S19" s="773">
        <f>F19</f>
        <v>100</v>
      </c>
      <c r="T19" s="772" t="s">
        <v>17</v>
      </c>
      <c r="U19" s="773">
        <f>H19</f>
        <v>100</v>
      </c>
      <c r="V19" s="772" t="s">
        <v>17</v>
      </c>
      <c r="W19" s="773">
        <f>J19</f>
        <v>100</v>
      </c>
      <c r="X19" s="3026"/>
      <c r="Y19" s="3259"/>
      <c r="Z19" s="3027" t="str">
        <f>Q19</f>
        <v>公共配套设施</v>
      </c>
      <c r="AA19" s="3029">
        <f t="shared" si="3"/>
        <v>1</v>
      </c>
      <c r="AB19" s="3029">
        <f t="shared" si="4"/>
        <v>1</v>
      </c>
      <c r="AC19" s="2675">
        <f t="shared" si="5"/>
        <v>1</v>
      </c>
    </row>
    <row r="20" spans="1:29" ht="15">
      <c r="A20" s="428"/>
      <c r="B20" s="632"/>
      <c r="C20" s="2977" t="s">
        <v>3107</v>
      </c>
      <c r="D20" s="448"/>
      <c r="E20" s="2978" t="s">
        <v>3107</v>
      </c>
      <c r="F20" s="448"/>
      <c r="G20" s="2979" t="s">
        <v>3107</v>
      </c>
      <c r="H20" s="448"/>
      <c r="I20" s="2979" t="s">
        <v>3107</v>
      </c>
      <c r="J20" s="448"/>
      <c r="K20" s="615"/>
      <c r="L20" s="1141"/>
      <c r="M20" s="1132"/>
      <c r="N20" s="1132"/>
      <c r="O20" s="1132"/>
      <c r="P20" s="3257"/>
      <c r="Q20" s="3028"/>
      <c r="R20" s="772"/>
      <c r="S20" s="773"/>
      <c r="T20" s="772"/>
      <c r="U20" s="773"/>
      <c r="V20" s="772"/>
      <c r="W20" s="773"/>
      <c r="X20" s="3026"/>
      <c r="Y20" s="3259"/>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57"/>
      <c r="Q21" s="3028" t="str">
        <f>B21</f>
        <v>基础设施水平</v>
      </c>
      <c r="R21" s="772" t="s">
        <v>17</v>
      </c>
      <c r="S21" s="773">
        <f>F21</f>
        <v>100</v>
      </c>
      <c r="T21" s="772" t="s">
        <v>17</v>
      </c>
      <c r="U21" s="773">
        <f>H21</f>
        <v>100</v>
      </c>
      <c r="V21" s="772" t="s">
        <v>17</v>
      </c>
      <c r="W21" s="773">
        <f>J21</f>
        <v>100</v>
      </c>
      <c r="X21" s="3026"/>
      <c r="Y21" s="3259"/>
      <c r="Z21" s="3027" t="str">
        <f>Q21</f>
        <v>基础设施水平</v>
      </c>
      <c r="AA21" s="3029">
        <f t="shared" ref="AA21" si="8">D21/F21</f>
        <v>1</v>
      </c>
      <c r="AB21" s="3029">
        <f t="shared" ref="AB21" si="9">D21/H21</f>
        <v>1</v>
      </c>
      <c r="AC21" s="2675">
        <f t="shared" ref="AC21" si="10">D21/J21</f>
        <v>1</v>
      </c>
    </row>
    <row r="22" spans="1:29" ht="15">
      <c r="A22" s="428"/>
      <c r="B22" s="633"/>
      <c r="C22" s="2974" t="s">
        <v>3108</v>
      </c>
      <c r="D22" s="448"/>
      <c r="E22" s="2980" t="s">
        <v>3108</v>
      </c>
      <c r="F22" s="448"/>
      <c r="G22" s="2977" t="s">
        <v>3108</v>
      </c>
      <c r="H22" s="448"/>
      <c r="I22" s="2977" t="s">
        <v>3108</v>
      </c>
      <c r="J22" s="448"/>
      <c r="K22" s="1384"/>
      <c r="L22" s="1141"/>
      <c r="M22" s="1132"/>
      <c r="N22" s="1132"/>
      <c r="O22" s="1132"/>
      <c r="P22" s="3257"/>
      <c r="Q22" s="3028"/>
      <c r="R22" s="772"/>
      <c r="S22" s="773"/>
      <c r="T22" s="772"/>
      <c r="U22" s="773"/>
      <c r="V22" s="772"/>
      <c r="W22" s="773"/>
      <c r="X22" s="3026"/>
      <c r="Y22" s="3259"/>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57"/>
      <c r="Q23" s="3028" t="str">
        <f>B23</f>
        <v>环境质量</v>
      </c>
      <c r="R23" s="772" t="s">
        <v>17</v>
      </c>
      <c r="S23" s="773">
        <f>F23</f>
        <v>100</v>
      </c>
      <c r="T23" s="772" t="s">
        <v>17</v>
      </c>
      <c r="U23" s="773">
        <f>H23</f>
        <v>100</v>
      </c>
      <c r="V23" s="772" t="s">
        <v>17</v>
      </c>
      <c r="W23" s="773">
        <f>J23</f>
        <v>100</v>
      </c>
      <c r="X23" s="3026"/>
      <c r="Y23" s="3259"/>
      <c r="Z23" s="3027" t="str">
        <f>Q23</f>
        <v>环境质量</v>
      </c>
      <c r="AA23" s="3029">
        <f t="shared" si="3"/>
        <v>1</v>
      </c>
      <c r="AB23" s="3029">
        <f t="shared" si="4"/>
        <v>1</v>
      </c>
      <c r="AC23" s="2675">
        <f t="shared" si="5"/>
        <v>1</v>
      </c>
    </row>
    <row r="24" spans="1:29" ht="15">
      <c r="A24" s="428"/>
      <c r="B24" s="633"/>
      <c r="C24" s="2977" t="s">
        <v>3107</v>
      </c>
      <c r="D24" s="448"/>
      <c r="E24" s="2978" t="s">
        <v>3107</v>
      </c>
      <c r="F24" s="448"/>
      <c r="G24" s="2979" t="s">
        <v>3107</v>
      </c>
      <c r="H24" s="448"/>
      <c r="I24" s="2979" t="s">
        <v>3107</v>
      </c>
      <c r="J24" s="448"/>
      <c r="K24" s="615"/>
      <c r="L24" s="1141"/>
      <c r="M24" s="1132"/>
      <c r="N24" s="1132"/>
      <c r="O24" s="1132"/>
      <c r="P24" s="3257"/>
      <c r="Q24" s="3028"/>
      <c r="R24" s="772"/>
      <c r="S24" s="773"/>
      <c r="T24" s="772"/>
      <c r="U24" s="773"/>
      <c r="V24" s="772"/>
      <c r="W24" s="773"/>
      <c r="X24" s="3026"/>
      <c r="Y24" s="3259"/>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57"/>
      <c r="Q25" s="3028" t="str">
        <f>B25</f>
        <v>毗邻道路的类型与等级</v>
      </c>
      <c r="R25" s="772" t="s">
        <v>17</v>
      </c>
      <c r="S25" s="773">
        <f>F25</f>
        <v>94</v>
      </c>
      <c r="T25" s="772" t="s">
        <v>17</v>
      </c>
      <c r="U25" s="773">
        <f>H25</f>
        <v>94</v>
      </c>
      <c r="V25" s="772" t="s">
        <v>17</v>
      </c>
      <c r="W25" s="773">
        <f>J25</f>
        <v>100</v>
      </c>
      <c r="X25" s="3026"/>
      <c r="Y25" s="3259"/>
      <c r="Z25" s="3027" t="str">
        <f>Q25</f>
        <v>毗邻道路的类型与等级</v>
      </c>
      <c r="AA25" s="3029">
        <f t="shared" si="3"/>
        <v>1.0638297872340425</v>
      </c>
      <c r="AB25" s="3029">
        <f t="shared" si="4"/>
        <v>1.0638297872340425</v>
      </c>
      <c r="AC25" s="2675">
        <f t="shared" si="5"/>
        <v>1</v>
      </c>
    </row>
    <row r="26" spans="1:29" ht="15">
      <c r="A26" s="404"/>
      <c r="B26" s="632"/>
      <c r="C26" s="2981" t="s">
        <v>3172</v>
      </c>
      <c r="D26" s="435"/>
      <c r="E26" s="2982" t="s">
        <v>3112</v>
      </c>
      <c r="F26" s="435"/>
      <c r="G26" s="2981" t="s">
        <v>3112</v>
      </c>
      <c r="H26" s="435"/>
      <c r="I26" s="2982" t="s">
        <v>3172</v>
      </c>
      <c r="J26" s="435"/>
      <c r="K26" s="615"/>
      <c r="L26" s="1141"/>
      <c r="M26" s="1132"/>
      <c r="N26" s="1132"/>
      <c r="O26" s="1132"/>
      <c r="P26" s="3257"/>
      <c r="Q26" s="3028"/>
      <c r="R26" s="772"/>
      <c r="S26" s="773"/>
      <c r="T26" s="772"/>
      <c r="U26" s="773"/>
      <c r="V26" s="772"/>
      <c r="W26" s="773"/>
      <c r="X26" s="3026"/>
      <c r="Y26" s="3259"/>
      <c r="Z26" s="3027"/>
      <c r="AA26" s="3029">
        <v>1</v>
      </c>
      <c r="AB26" s="3029">
        <v>1</v>
      </c>
      <c r="AC26" s="2675">
        <v>1</v>
      </c>
    </row>
    <row r="27" spans="1:29" ht="15">
      <c r="A27" s="428"/>
      <c r="B27" s="632" t="s">
        <v>2660</v>
      </c>
      <c r="C27" s="2981" t="s">
        <v>3109</v>
      </c>
      <c r="D27" s="435">
        <v>100</v>
      </c>
      <c r="E27" s="2982" t="s">
        <v>3121</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57"/>
      <c r="Q27" s="3028" t="str">
        <f t="shared" ref="Q27:Q47" si="11">B27</f>
        <v>楼层</v>
      </c>
      <c r="R27" s="772" t="s">
        <v>17</v>
      </c>
      <c r="S27" s="773">
        <f>F27</f>
        <v>105</v>
      </c>
      <c r="T27" s="772" t="s">
        <v>17</v>
      </c>
      <c r="U27" s="773">
        <f>H27</f>
        <v>100</v>
      </c>
      <c r="V27" s="772" t="s">
        <v>17</v>
      </c>
      <c r="W27" s="773">
        <f>J27</f>
        <v>105</v>
      </c>
      <c r="X27" s="3026"/>
      <c r="Y27" s="3259"/>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57"/>
      <c r="Q28" s="3005" t="str">
        <f t="shared" si="11"/>
        <v>朝向</v>
      </c>
      <c r="R28" s="768" t="s">
        <v>17</v>
      </c>
      <c r="S28" s="769">
        <f>F28</f>
        <v>100</v>
      </c>
      <c r="T28" s="768" t="s">
        <v>17</v>
      </c>
      <c r="U28" s="769">
        <f>H28</f>
        <v>100</v>
      </c>
      <c r="V28" s="768" t="s">
        <v>17</v>
      </c>
      <c r="W28" s="769">
        <f>J28</f>
        <v>100</v>
      </c>
      <c r="X28" s="770"/>
      <c r="Y28" s="3259"/>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57"/>
      <c r="Q29" s="3028">
        <f t="shared" si="11"/>
        <v>111</v>
      </c>
      <c r="R29" s="772" t="s">
        <v>17</v>
      </c>
      <c r="S29" s="773">
        <f t="shared" ref="S29:S47" si="12">F29</f>
        <v>100</v>
      </c>
      <c r="T29" s="772" t="s">
        <v>17</v>
      </c>
      <c r="U29" s="773">
        <f t="shared" ref="U29:U47" si="13">H29</f>
        <v>100</v>
      </c>
      <c r="V29" s="772" t="s">
        <v>17</v>
      </c>
      <c r="W29" s="773">
        <f t="shared" ref="W29:W47" si="14">J29</f>
        <v>100</v>
      </c>
      <c r="X29" s="3026"/>
      <c r="Y29" s="3259"/>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57"/>
      <c r="Q30" s="3028">
        <f t="shared" si="11"/>
        <v>111</v>
      </c>
      <c r="R30" s="772" t="s">
        <v>17</v>
      </c>
      <c r="S30" s="773">
        <f t="shared" si="12"/>
        <v>100</v>
      </c>
      <c r="T30" s="772" t="s">
        <v>17</v>
      </c>
      <c r="U30" s="773">
        <f t="shared" si="13"/>
        <v>100</v>
      </c>
      <c r="V30" s="772" t="s">
        <v>17</v>
      </c>
      <c r="W30" s="773">
        <f t="shared" si="14"/>
        <v>100</v>
      </c>
      <c r="X30" s="3026"/>
      <c r="Y30" s="3259"/>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57"/>
      <c r="Q31" s="3028">
        <f t="shared" si="11"/>
        <v>111</v>
      </c>
      <c r="R31" s="772" t="s">
        <v>17</v>
      </c>
      <c r="S31" s="773">
        <f t="shared" si="12"/>
        <v>100</v>
      </c>
      <c r="T31" s="772" t="s">
        <v>17</v>
      </c>
      <c r="U31" s="773">
        <f t="shared" si="13"/>
        <v>100</v>
      </c>
      <c r="V31" s="772" t="s">
        <v>17</v>
      </c>
      <c r="W31" s="773">
        <f t="shared" si="14"/>
        <v>100</v>
      </c>
      <c r="X31" s="3026"/>
      <c r="Y31" s="3259"/>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57"/>
      <c r="Q32" s="3028">
        <f t="shared" si="11"/>
        <v>111</v>
      </c>
      <c r="R32" s="772" t="s">
        <v>17</v>
      </c>
      <c r="S32" s="773">
        <f t="shared" si="12"/>
        <v>100</v>
      </c>
      <c r="T32" s="772" t="s">
        <v>17</v>
      </c>
      <c r="U32" s="773">
        <f t="shared" si="13"/>
        <v>100</v>
      </c>
      <c r="V32" s="772" t="s">
        <v>17</v>
      </c>
      <c r="W32" s="773">
        <f t="shared" si="14"/>
        <v>100</v>
      </c>
      <c r="X32" s="3026"/>
      <c r="Y32" s="3259"/>
      <c r="Z32" s="3027">
        <f t="shared" si="15"/>
        <v>111</v>
      </c>
      <c r="AA32" s="3029">
        <f t="shared" si="3"/>
        <v>1</v>
      </c>
      <c r="AB32" s="3029">
        <f t="shared" si="4"/>
        <v>1</v>
      </c>
      <c r="AC32" s="2675">
        <f t="shared" si="5"/>
        <v>1</v>
      </c>
    </row>
    <row r="33" spans="1:29" ht="15">
      <c r="A33" s="440" t="s">
        <v>2564</v>
      </c>
      <c r="B33" s="71" t="s">
        <v>2694</v>
      </c>
      <c r="C33" s="2984" t="s">
        <v>3113</v>
      </c>
      <c r="D33" s="467">
        <v>100</v>
      </c>
      <c r="E33" s="2984" t="s">
        <v>3113</v>
      </c>
      <c r="F33" s="461">
        <f>SUMIF(101:101,E33,102:102)-SUMIF(101:101,C33,102:102)+100</f>
        <v>100</v>
      </c>
      <c r="G33" s="2984" t="s">
        <v>3113</v>
      </c>
      <c r="H33" s="435">
        <f>SUMIF(101:101,G33,102:102)-SUMIF(101:101,C33,102:102)+100</f>
        <v>100</v>
      </c>
      <c r="I33" s="2984" t="s">
        <v>3113</v>
      </c>
      <c r="J33" s="467">
        <f>SUMIF(101:101,I33,102:102)-SUMIF(101:101,C33,102:102)+100</f>
        <v>100</v>
      </c>
      <c r="K33" s="612">
        <v>2</v>
      </c>
      <c r="L33" s="1141"/>
      <c r="M33" s="1132"/>
      <c r="N33" s="1132"/>
      <c r="O33" s="1132"/>
      <c r="P33" s="3260" t="s">
        <v>2566</v>
      </c>
      <c r="Q33" s="3028" t="str">
        <f t="shared" si="11"/>
        <v>建筑类型</v>
      </c>
      <c r="R33" s="772" t="s">
        <v>17</v>
      </c>
      <c r="S33" s="773">
        <f t="shared" si="12"/>
        <v>100</v>
      </c>
      <c r="T33" s="772" t="s">
        <v>17</v>
      </c>
      <c r="U33" s="773">
        <f t="shared" si="13"/>
        <v>100</v>
      </c>
      <c r="V33" s="772" t="s">
        <v>17</v>
      </c>
      <c r="W33" s="773">
        <f t="shared" si="14"/>
        <v>100</v>
      </c>
      <c r="X33" s="3026"/>
      <c r="Y33" s="3263"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1"/>
      <c r="Q34" s="774" t="str">
        <f t="shared" si="11"/>
        <v>项目建筑规模</v>
      </c>
      <c r="R34" s="775" t="s">
        <v>17</v>
      </c>
      <c r="S34" s="776">
        <f t="shared" si="12"/>
        <v>102</v>
      </c>
      <c r="T34" s="775" t="s">
        <v>17</v>
      </c>
      <c r="U34" s="776">
        <f t="shared" si="13"/>
        <v>98</v>
      </c>
      <c r="V34" s="775" t="s">
        <v>17</v>
      </c>
      <c r="W34" s="776">
        <f t="shared" si="14"/>
        <v>98</v>
      </c>
      <c r="X34" s="777"/>
      <c r="Y34" s="3263"/>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3114</v>
      </c>
      <c r="D35" s="435">
        <v>100</v>
      </c>
      <c r="E35" s="2985" t="s">
        <v>3114</v>
      </c>
      <c r="F35" s="461">
        <f>SUMIF(106:106,E35,107:107)-SUMIF(106:106,C35,107:107)+100</f>
        <v>100</v>
      </c>
      <c r="G35" s="2985" t="s">
        <v>3114</v>
      </c>
      <c r="H35" s="435">
        <f>SUMIF(106:106,G35,107:107)-SUMIF(106:106,C35,107:107)+100</f>
        <v>100</v>
      </c>
      <c r="I35" s="2985" t="s">
        <v>3114</v>
      </c>
      <c r="J35" s="435">
        <f>SUMIF(106:106,I35,107:107)-SUMIF(106:106,C35,107:107)+100</f>
        <v>100</v>
      </c>
      <c r="K35" s="612">
        <v>2</v>
      </c>
      <c r="L35" s="1141"/>
      <c r="M35" s="1132"/>
      <c r="N35" s="1132"/>
      <c r="O35" s="1132"/>
      <c r="P35" s="3261"/>
      <c r="Q35" s="3028" t="str">
        <f t="shared" si="11"/>
        <v>建筑结构</v>
      </c>
      <c r="R35" s="772" t="s">
        <v>17</v>
      </c>
      <c r="S35" s="773">
        <f t="shared" si="12"/>
        <v>100</v>
      </c>
      <c r="T35" s="772" t="s">
        <v>17</v>
      </c>
      <c r="U35" s="773">
        <f t="shared" si="13"/>
        <v>100</v>
      </c>
      <c r="V35" s="772" t="s">
        <v>17</v>
      </c>
      <c r="W35" s="773">
        <f t="shared" si="14"/>
        <v>100</v>
      </c>
      <c r="X35" s="3026"/>
      <c r="Y35" s="3263"/>
      <c r="Z35" s="3027" t="str">
        <f t="shared" si="15"/>
        <v>建筑结构</v>
      </c>
      <c r="AA35" s="3029">
        <f t="shared" si="3"/>
        <v>1</v>
      </c>
      <c r="AB35" s="3029">
        <f t="shared" si="4"/>
        <v>1</v>
      </c>
      <c r="AC35" s="2675">
        <f t="shared" si="5"/>
        <v>1</v>
      </c>
    </row>
    <row r="36" spans="1:29" ht="15">
      <c r="A36" s="472"/>
      <c r="B36" s="3023" t="s">
        <v>2662</v>
      </c>
      <c r="C36" s="2985" t="s">
        <v>3115</v>
      </c>
      <c r="D36" s="435">
        <v>100</v>
      </c>
      <c r="E36" s="2985" t="s">
        <v>3115</v>
      </c>
      <c r="F36" s="461">
        <f>SUMIF(108:108,E36,109:109)-SUMIF(108:108,C36,109:109)+100</f>
        <v>100</v>
      </c>
      <c r="G36" s="2985" t="s">
        <v>3115</v>
      </c>
      <c r="H36" s="435">
        <f>SUMIF(108:108,G36,109:109)-SUMIF(108:108,C36,109:109)+100</f>
        <v>100</v>
      </c>
      <c r="I36" s="2985" t="s">
        <v>3115</v>
      </c>
      <c r="J36" s="435">
        <f>SUMIF(108:108,I36,109:109)-SUMIF(108:108,C36,109:109)+100</f>
        <v>100</v>
      </c>
      <c r="K36" s="612">
        <v>2</v>
      </c>
      <c r="L36" s="1141"/>
      <c r="M36" s="1132"/>
      <c r="N36" s="1132"/>
      <c r="O36" s="1132"/>
      <c r="P36" s="3261"/>
      <c r="Q36" s="3028" t="str">
        <f t="shared" si="11"/>
        <v>公共部分装修</v>
      </c>
      <c r="R36" s="772" t="s">
        <v>17</v>
      </c>
      <c r="S36" s="773">
        <f t="shared" si="12"/>
        <v>100</v>
      </c>
      <c r="T36" s="772" t="s">
        <v>17</v>
      </c>
      <c r="U36" s="773">
        <f t="shared" si="13"/>
        <v>100</v>
      </c>
      <c r="V36" s="772" t="s">
        <v>17</v>
      </c>
      <c r="W36" s="773">
        <f t="shared" si="14"/>
        <v>100</v>
      </c>
      <c r="X36" s="3026"/>
      <c r="Y36" s="3263"/>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1"/>
      <c r="Q37" s="3028" t="str">
        <f t="shared" si="11"/>
        <v>成新度</v>
      </c>
      <c r="R37" s="772" t="s">
        <v>17</v>
      </c>
      <c r="S37" s="773">
        <f t="shared" si="12"/>
        <v>100</v>
      </c>
      <c r="T37" s="772" t="s">
        <v>17</v>
      </c>
      <c r="U37" s="773">
        <f t="shared" si="13"/>
        <v>100</v>
      </c>
      <c r="V37" s="772" t="s">
        <v>17</v>
      </c>
      <c r="W37" s="773">
        <f t="shared" si="14"/>
        <v>100</v>
      </c>
      <c r="X37" s="3026"/>
      <c r="Y37" s="3263"/>
      <c r="Z37" s="3027" t="str">
        <f t="shared" si="15"/>
        <v>成新度</v>
      </c>
      <c r="AA37" s="3029">
        <f t="shared" si="3"/>
        <v>1</v>
      </c>
      <c r="AB37" s="3029">
        <f t="shared" si="4"/>
        <v>1</v>
      </c>
      <c r="AC37" s="2675">
        <f t="shared" si="5"/>
        <v>1</v>
      </c>
    </row>
    <row r="38" spans="1:29" s="117" customFormat="1" ht="15">
      <c r="A38" s="473"/>
      <c r="B38" s="3023" t="s">
        <v>2695</v>
      </c>
      <c r="C38" s="2985" t="s">
        <v>3116</v>
      </c>
      <c r="D38" s="136">
        <v>100</v>
      </c>
      <c r="E38" s="2985" t="s">
        <v>3116</v>
      </c>
      <c r="F38" s="461">
        <f>SUMIF(113:113,E38,114:114)-SUMIF(113:113,C38,114:114)+100</f>
        <v>100</v>
      </c>
      <c r="G38" s="2985" t="s">
        <v>3116</v>
      </c>
      <c r="H38" s="435">
        <f>SUMIF(113:113,G38,114:114)-SUMIF(113:113,C38,114:114)+100</f>
        <v>100</v>
      </c>
      <c r="I38" s="2985" t="s">
        <v>3116</v>
      </c>
      <c r="J38" s="435">
        <f>SUMIF(113:113,I38,114:114)-SUMIF(113:113,C38,114:114)+100</f>
        <v>100</v>
      </c>
      <c r="K38" s="612">
        <v>2</v>
      </c>
      <c r="L38" s="1133"/>
      <c r="M38" s="1134"/>
      <c r="N38" s="1134"/>
      <c r="O38" s="1134"/>
      <c r="P38" s="3261"/>
      <c r="Q38" s="3005" t="str">
        <f t="shared" si="11"/>
        <v>写字楼等级</v>
      </c>
      <c r="R38" s="768" t="s">
        <v>17</v>
      </c>
      <c r="S38" s="769">
        <f t="shared" si="12"/>
        <v>100</v>
      </c>
      <c r="T38" s="768" t="s">
        <v>17</v>
      </c>
      <c r="U38" s="769">
        <f t="shared" si="13"/>
        <v>100</v>
      </c>
      <c r="V38" s="768" t="s">
        <v>17</v>
      </c>
      <c r="W38" s="769">
        <f t="shared" si="14"/>
        <v>100</v>
      </c>
      <c r="X38" s="770"/>
      <c r="Y38" s="3263"/>
      <c r="Z38" s="3006" t="str">
        <f t="shared" si="15"/>
        <v>写字楼等级</v>
      </c>
      <c r="AA38" s="771">
        <f t="shared" si="3"/>
        <v>1</v>
      </c>
      <c r="AB38" s="771">
        <f t="shared" si="4"/>
        <v>1</v>
      </c>
      <c r="AC38" s="2672">
        <f t="shared" si="5"/>
        <v>1</v>
      </c>
    </row>
    <row r="39" spans="1:29" ht="15">
      <c r="A39" s="472"/>
      <c r="B39" s="3023" t="s">
        <v>2696</v>
      </c>
      <c r="C39" s="2985" t="s">
        <v>3117</v>
      </c>
      <c r="D39" s="435">
        <v>100</v>
      </c>
      <c r="E39" s="2985" t="s">
        <v>3117</v>
      </c>
      <c r="F39" s="461">
        <f>SUMIF(115:115,E39,116:116)-SUMIF(115:115,C39,116:116)+100</f>
        <v>100</v>
      </c>
      <c r="G39" s="2985" t="s">
        <v>3117</v>
      </c>
      <c r="H39" s="435">
        <f>SUMIF(115:115,G39,116:116)-SUMIF(115:115,C39,116:116)+100</f>
        <v>100</v>
      </c>
      <c r="I39" s="2985" t="s">
        <v>3117</v>
      </c>
      <c r="J39" s="435">
        <f>SUMIF(115:115,I39,116:116)-SUMIF(115:115,C39,116:116)+100</f>
        <v>100</v>
      </c>
      <c r="K39" s="612">
        <v>2</v>
      </c>
      <c r="L39" s="1141"/>
      <c r="M39" s="1132"/>
      <c r="N39" s="1132"/>
      <c r="O39" s="1132"/>
      <c r="P39" s="3261" t="s">
        <v>2566</v>
      </c>
      <c r="Q39" s="3028" t="str">
        <f t="shared" si="11"/>
        <v>物业管理</v>
      </c>
      <c r="R39" s="772" t="s">
        <v>17</v>
      </c>
      <c r="S39" s="773">
        <f t="shared" si="12"/>
        <v>100</v>
      </c>
      <c r="T39" s="772" t="s">
        <v>17</v>
      </c>
      <c r="U39" s="773">
        <f t="shared" si="13"/>
        <v>100</v>
      </c>
      <c r="V39" s="772" t="s">
        <v>17</v>
      </c>
      <c r="W39" s="773">
        <f t="shared" si="14"/>
        <v>100</v>
      </c>
      <c r="X39" s="3026"/>
      <c r="Y39" s="3263" t="s">
        <v>2566</v>
      </c>
      <c r="Z39" s="3027" t="str">
        <f t="shared" si="15"/>
        <v>物业管理</v>
      </c>
      <c r="AA39" s="3029">
        <f t="shared" si="3"/>
        <v>1</v>
      </c>
      <c r="AB39" s="3029">
        <f t="shared" si="4"/>
        <v>1</v>
      </c>
      <c r="AC39" s="2675">
        <f t="shared" si="5"/>
        <v>1</v>
      </c>
    </row>
    <row r="40" spans="1:29" ht="15">
      <c r="A40" s="472"/>
      <c r="B40" s="3023" t="s">
        <v>2664</v>
      </c>
      <c r="C40" s="2995" t="s">
        <v>3108</v>
      </c>
      <c r="D40" s="435">
        <v>100</v>
      </c>
      <c r="E40" s="2985" t="s">
        <v>3119</v>
      </c>
      <c r="F40" s="461">
        <f>SUMIF(117:117,E40,118:118)-SUMIF(117:117,C40,118:118)+100</f>
        <v>96</v>
      </c>
      <c r="G40" s="2985" t="s">
        <v>3119</v>
      </c>
      <c r="H40" s="435">
        <f>SUMIF(117:117,G40,118:118)-SUMIF(117:117,C40,118:118)+100</f>
        <v>96</v>
      </c>
      <c r="I40" s="2985" t="s">
        <v>3119</v>
      </c>
      <c r="J40" s="435">
        <f>SUMIF(117:117,I40,118:118)-SUMIF(117:117,C40,118:118)+100</f>
        <v>96</v>
      </c>
      <c r="K40" s="612">
        <v>2</v>
      </c>
      <c r="L40" s="1141"/>
      <c r="M40" s="1132"/>
      <c r="N40" s="1132"/>
      <c r="O40" s="1132"/>
      <c r="P40" s="3261"/>
      <c r="Q40" s="3028" t="str">
        <f t="shared" si="11"/>
        <v>市政基础设施</v>
      </c>
      <c r="R40" s="772" t="s">
        <v>17</v>
      </c>
      <c r="S40" s="773">
        <f t="shared" si="12"/>
        <v>96</v>
      </c>
      <c r="T40" s="772" t="s">
        <v>17</v>
      </c>
      <c r="U40" s="773">
        <f t="shared" si="13"/>
        <v>96</v>
      </c>
      <c r="V40" s="772" t="s">
        <v>17</v>
      </c>
      <c r="W40" s="773">
        <f t="shared" si="14"/>
        <v>96</v>
      </c>
      <c r="X40" s="3026"/>
      <c r="Y40" s="3263"/>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3120</v>
      </c>
      <c r="D41" s="435">
        <v>100</v>
      </c>
      <c r="E41" s="2982" t="s">
        <v>3120</v>
      </c>
      <c r="F41" s="461">
        <f>SUMIF(119:119,E41,120:120)-SUMIF(119:119,C41,120:120)+100</f>
        <v>100</v>
      </c>
      <c r="G41" s="2982" t="s">
        <v>3120</v>
      </c>
      <c r="H41" s="435">
        <f>SUMIF(119:119,G41,120:120)-SUMIF(119:119,C41,120:120)+100</f>
        <v>100</v>
      </c>
      <c r="I41" s="2982" t="s">
        <v>3120</v>
      </c>
      <c r="J41" s="435">
        <f>SUMIF(119:119,I41,120:120)-SUMIF(119:119,C41,120:120)+100</f>
        <v>100</v>
      </c>
      <c r="K41" s="612">
        <v>2</v>
      </c>
      <c r="L41" s="1141"/>
      <c r="M41" s="1132"/>
      <c r="N41" s="1132"/>
      <c r="O41" s="1132"/>
      <c r="P41" s="3261"/>
      <c r="Q41" s="3028" t="str">
        <f t="shared" si="11"/>
        <v>层高</v>
      </c>
      <c r="R41" s="772" t="s">
        <v>17</v>
      </c>
      <c r="S41" s="773">
        <f t="shared" si="12"/>
        <v>100</v>
      </c>
      <c r="T41" s="772" t="s">
        <v>17</v>
      </c>
      <c r="U41" s="773">
        <f t="shared" si="13"/>
        <v>100</v>
      </c>
      <c r="V41" s="772" t="s">
        <v>17</v>
      </c>
      <c r="W41" s="773">
        <f t="shared" si="14"/>
        <v>100</v>
      </c>
      <c r="X41" s="3026"/>
      <c r="Y41" s="3263"/>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1"/>
      <c r="Q42" s="774" t="str">
        <f t="shared" si="11"/>
        <v>单套建筑面积</v>
      </c>
      <c r="R42" s="775" t="s">
        <v>17</v>
      </c>
      <c r="S42" s="776">
        <f t="shared" si="12"/>
        <v>100</v>
      </c>
      <c r="T42" s="775" t="s">
        <v>17</v>
      </c>
      <c r="U42" s="776">
        <f t="shared" si="13"/>
        <v>100</v>
      </c>
      <c r="V42" s="775" t="s">
        <v>17</v>
      </c>
      <c r="W42" s="776">
        <f t="shared" si="14"/>
        <v>100</v>
      </c>
      <c r="X42" s="777"/>
      <c r="Y42" s="3263"/>
      <c r="Z42" s="778" t="str">
        <f t="shared" si="15"/>
        <v>单套建筑面积</v>
      </c>
      <c r="AA42" s="3029">
        <f t="shared" si="3"/>
        <v>1</v>
      </c>
      <c r="AB42" s="3029">
        <f t="shared" si="4"/>
        <v>1</v>
      </c>
      <c r="AC42" s="2675">
        <f t="shared" si="5"/>
        <v>1</v>
      </c>
    </row>
    <row r="43" spans="1:29" ht="15">
      <c r="A43" s="472"/>
      <c r="B43" s="3023" t="s">
        <v>2669</v>
      </c>
      <c r="C43" s="2985" t="s">
        <v>3320</v>
      </c>
      <c r="D43" s="435">
        <v>100</v>
      </c>
      <c r="E43" s="2985" t="s">
        <v>3166</v>
      </c>
      <c r="F43" s="461">
        <f>SUMIF(123:123,E43,124:124)-SUMIF(123:123,C43,124:124)+100</f>
        <v>104</v>
      </c>
      <c r="G43" s="2985" t="s">
        <v>3166</v>
      </c>
      <c r="H43" s="435">
        <f>SUMIF(123:123,G43,124:124)-SUMIF(123:123,C43,124:124)+100</f>
        <v>104</v>
      </c>
      <c r="I43" s="2985" t="s">
        <v>3166</v>
      </c>
      <c r="J43" s="435">
        <f>SUMIF(123:123,I43,124:124)-SUMIF(123:123,C43,124:124)+100</f>
        <v>104</v>
      </c>
      <c r="K43" s="612">
        <v>2</v>
      </c>
      <c r="L43" s="1141"/>
      <c r="M43" s="1132"/>
      <c r="N43" s="1132"/>
      <c r="O43" s="1132"/>
      <c r="P43" s="3261"/>
      <c r="Q43" s="3028" t="str">
        <f t="shared" si="11"/>
        <v>内部装修</v>
      </c>
      <c r="R43" s="772" t="s">
        <v>17</v>
      </c>
      <c r="S43" s="773">
        <f t="shared" si="12"/>
        <v>104</v>
      </c>
      <c r="T43" s="772" t="s">
        <v>17</v>
      </c>
      <c r="U43" s="773">
        <f t="shared" si="13"/>
        <v>104</v>
      </c>
      <c r="V43" s="772" t="s">
        <v>17</v>
      </c>
      <c r="W43" s="773">
        <f t="shared" si="14"/>
        <v>104</v>
      </c>
      <c r="X43" s="3026"/>
      <c r="Y43" s="3263"/>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3107</v>
      </c>
      <c r="D44" s="435">
        <v>100</v>
      </c>
      <c r="E44" s="2986" t="s">
        <v>3107</v>
      </c>
      <c r="F44" s="461">
        <f>SUMIF(125:125,E44,126:126)-SUMIF(125:125,C44,126:126)+100</f>
        <v>100</v>
      </c>
      <c r="G44" s="2986" t="s">
        <v>3107</v>
      </c>
      <c r="H44" s="435">
        <f>SUMIF(125:125,G44,126:126)-SUMIF(125:125,C44,126:126)+100</f>
        <v>100</v>
      </c>
      <c r="I44" s="2986" t="s">
        <v>3107</v>
      </c>
      <c r="J44" s="435">
        <f>SUMIF(125:125,I44,126:126)-SUMIF(125:125,C44,126:126)+100</f>
        <v>100</v>
      </c>
      <c r="K44" s="612">
        <v>2</v>
      </c>
      <c r="L44" s="1141"/>
      <c r="M44" s="1132"/>
      <c r="N44" s="1132"/>
      <c r="O44" s="1132"/>
      <c r="P44" s="3261"/>
      <c r="Q44" s="3028" t="str">
        <f t="shared" si="11"/>
        <v>内部装修维护情况</v>
      </c>
      <c r="R44" s="772" t="s">
        <v>17</v>
      </c>
      <c r="S44" s="773">
        <f t="shared" si="12"/>
        <v>100</v>
      </c>
      <c r="T44" s="772" t="s">
        <v>17</v>
      </c>
      <c r="U44" s="773">
        <f t="shared" si="13"/>
        <v>100</v>
      </c>
      <c r="V44" s="772" t="s">
        <v>17</v>
      </c>
      <c r="W44" s="773">
        <f t="shared" si="14"/>
        <v>100</v>
      </c>
      <c r="X44" s="3026"/>
      <c r="Y44" s="3263"/>
      <c r="Z44" s="3027" t="str">
        <f t="shared" si="15"/>
        <v>内部装修维护情况</v>
      </c>
      <c r="AA44" s="3029">
        <f t="shared" si="3"/>
        <v>1</v>
      </c>
      <c r="AB44" s="3029">
        <f t="shared" si="4"/>
        <v>1</v>
      </c>
      <c r="AC44" s="2675">
        <f t="shared" si="5"/>
        <v>1</v>
      </c>
    </row>
    <row r="45" spans="1:29" s="117" customFormat="1" ht="15">
      <c r="A45" s="473"/>
      <c r="B45" s="3032" t="s">
        <v>3313</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61"/>
      <c r="Q45" s="3005" t="str">
        <f t="shared" si="11"/>
        <v>现状用途</v>
      </c>
      <c r="R45" s="768" t="s">
        <v>17</v>
      </c>
      <c r="S45" s="769">
        <f t="shared" si="12"/>
        <v>100</v>
      </c>
      <c r="T45" s="768" t="s">
        <v>17</v>
      </c>
      <c r="U45" s="769">
        <f t="shared" si="13"/>
        <v>100</v>
      </c>
      <c r="V45" s="768" t="s">
        <v>17</v>
      </c>
      <c r="W45" s="769">
        <f t="shared" si="14"/>
        <v>100</v>
      </c>
      <c r="X45" s="770"/>
      <c r="Y45" s="3263"/>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1"/>
      <c r="Q46" s="3028">
        <f t="shared" si="11"/>
        <v>111</v>
      </c>
      <c r="R46" s="772" t="s">
        <v>17</v>
      </c>
      <c r="S46" s="773">
        <f t="shared" si="12"/>
        <v>100</v>
      </c>
      <c r="T46" s="772" t="s">
        <v>17</v>
      </c>
      <c r="U46" s="773">
        <f t="shared" si="13"/>
        <v>100</v>
      </c>
      <c r="V46" s="772" t="s">
        <v>17</v>
      </c>
      <c r="W46" s="773">
        <f t="shared" si="14"/>
        <v>100</v>
      </c>
      <c r="X46" s="3026"/>
      <c r="Y46" s="3263"/>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2"/>
      <c r="Q47" s="3028">
        <f t="shared" si="11"/>
        <v>0.95</v>
      </c>
      <c r="R47" s="772" t="s">
        <v>17</v>
      </c>
      <c r="S47" s="773">
        <f t="shared" si="12"/>
        <v>100</v>
      </c>
      <c r="T47" s="772" t="s">
        <v>17</v>
      </c>
      <c r="U47" s="773">
        <f t="shared" si="13"/>
        <v>100</v>
      </c>
      <c r="V47" s="772" t="s">
        <v>17</v>
      </c>
      <c r="W47" s="773">
        <f t="shared" si="14"/>
        <v>100</v>
      </c>
      <c r="X47" s="3026"/>
      <c r="Y47" s="3264"/>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2" t="str">
        <f>A48</f>
        <v>成交单价（元/平方米）</v>
      </c>
      <c r="Q48" s="3265"/>
      <c r="R48" s="3266">
        <f>E48</f>
        <v>26600</v>
      </c>
      <c r="S48" s="3266"/>
      <c r="T48" s="3266">
        <f>G48</f>
        <v>23750</v>
      </c>
      <c r="U48" s="3266"/>
      <c r="V48" s="3266">
        <f>I48</f>
        <v>26600</v>
      </c>
      <c r="W48" s="3266"/>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2" t="str">
        <f>A49</f>
        <v>比较价值（元/平方米）</v>
      </c>
      <c r="Q49" s="3265"/>
      <c r="R49" s="3266">
        <f>IF(F1="售价",ROUND(PRODUCT(R48,AA7:AA47),0),ROUND(PRODUCT(R48,AA7:AA47),1))</f>
        <v>25204</v>
      </c>
      <c r="S49" s="3266"/>
      <c r="T49" s="3266">
        <f>IF(F1="售价",ROUND(PRODUCT(T48,AB7:AB47),0),ROUND(PRODUCT(T48,AB7:AB47),1))</f>
        <v>24593</v>
      </c>
      <c r="U49" s="3266"/>
      <c r="V49" s="3266">
        <f>IF(F1="售价",ROUND(PRODUCT(V48,AC7:AC47),0),ROUND(PRODUCT(V48,AC7:AC47),1))</f>
        <v>24175</v>
      </c>
      <c r="W49" s="3266"/>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13" t="str">
        <f>A50</f>
        <v>估价对象XX用房的比较价值（楼面单价，元/平方米）</v>
      </c>
      <c r="Q50" s="3314"/>
      <c r="R50" s="3315">
        <f>IF(F1="售价",ROUND(AVERAGE(R49:V49),0),ROUND(AVERAGE(R49:V49),1))</f>
        <v>24657</v>
      </c>
      <c r="S50" s="3315"/>
      <c r="T50" s="3315"/>
      <c r="U50" s="3315"/>
      <c r="V50" s="3315"/>
      <c r="W50" s="3315"/>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3319</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3173</v>
      </c>
      <c r="D87" s="2983" t="s">
        <v>3111</v>
      </c>
      <c r="E87" s="2983" t="s">
        <v>3174</v>
      </c>
      <c r="F87" s="2983" t="s">
        <v>3112</v>
      </c>
      <c r="G87" s="2983" t="s">
        <v>3176</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3123</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3108</v>
      </c>
      <c r="D117" s="2983" t="s">
        <v>3178</v>
      </c>
      <c r="E117" s="2983" t="s">
        <v>3119</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3115</v>
      </c>
      <c r="D123" s="2983" t="s">
        <v>3166</v>
      </c>
      <c r="E123" s="2983" t="s">
        <v>3170</v>
      </c>
      <c r="F123" s="2994" t="s">
        <v>3165</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3315</v>
      </c>
      <c r="D127" s="2983" t="s">
        <v>3314</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3307</v>
      </c>
      <c r="D1" s="1818" t="s">
        <v>70</v>
      </c>
      <c r="E1" s="1819" t="s">
        <v>1383</v>
      </c>
      <c r="F1" s="1284">
        <f ca="1">J53</f>
        <v>44.68</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34018</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20991</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1599</v>
      </c>
      <c r="D5" s="1820" t="s">
        <v>1398</v>
      </c>
      <c r="E5" s="1294"/>
      <c r="F5" s="1295"/>
      <c r="G5" s="1849"/>
      <c r="H5" s="344">
        <v>1</v>
      </c>
      <c r="I5" s="345" t="s">
        <v>1397</v>
      </c>
      <c r="J5" s="1293">
        <f ca="1">J6+J10+J12</f>
        <v>0</v>
      </c>
      <c r="K5" s="1820" t="s">
        <v>1398</v>
      </c>
      <c r="L5" s="1294"/>
      <c r="M5" s="1295"/>
    </row>
    <row r="6" spans="1:37" ht="18" customHeight="1">
      <c r="A6" s="1292" t="s">
        <v>1032</v>
      </c>
      <c r="B6" s="3274" t="s">
        <v>1399</v>
      </c>
      <c r="C6" s="1297">
        <f ca="1">ROUND(F6*F8*F7*(1-F9)/10000,0)</f>
        <v>1597</v>
      </c>
      <c r="D6" s="164" t="s">
        <v>3030</v>
      </c>
      <c r="E6" s="347" t="s">
        <v>1401</v>
      </c>
      <c r="F6" s="348">
        <f ca="1">INDIRECT("'数据-取费表'!u"&amp;$G$1)</f>
        <v>3</v>
      </c>
      <c r="G6" s="1849"/>
      <c r="H6" s="1292" t="s">
        <v>1032</v>
      </c>
      <c r="I6" s="3274" t="s">
        <v>1399</v>
      </c>
      <c r="J6" s="346">
        <f ca="1">ROUND(M6*M8*M7*(1-M9)/10000,0)</f>
        <v>0</v>
      </c>
      <c r="K6" s="164" t="s">
        <v>3029</v>
      </c>
      <c r="L6" s="347" t="s">
        <v>1401</v>
      </c>
      <c r="M6" s="348">
        <f ca="1">INDIRECT("'数据-取费表'!z"&amp;$G$1)</f>
        <v>0</v>
      </c>
    </row>
    <row r="7" spans="1:37" ht="18" customHeight="1">
      <c r="A7" s="1296"/>
      <c r="B7" s="3275"/>
      <c r="C7" s="1298"/>
      <c r="D7" s="352"/>
      <c r="E7" s="3012" t="s">
        <v>1402</v>
      </c>
      <c r="F7" s="348">
        <f ca="1">IF(INDIRECT("'数据-取费表'!ah"&amp;$G$1)="",INDIRECT("'数据-取费表'!k"&amp;$G$1),INDIRECT("'数据-取费表'!ah"&amp;$G$1))</f>
        <v>16206.23</v>
      </c>
      <c r="G7" s="1849"/>
      <c r="H7" s="349"/>
      <c r="I7" s="3275"/>
      <c r="J7" s="351"/>
      <c r="K7" s="352"/>
      <c r="L7" s="347" t="s">
        <v>1402</v>
      </c>
      <c r="M7" s="348">
        <f ca="1">F7</f>
        <v>16206.23</v>
      </c>
    </row>
    <row r="8" spans="1:37" ht="18" customHeight="1">
      <c r="A8" s="349"/>
      <c r="B8" s="3275"/>
      <c r="C8" s="351"/>
      <c r="D8" s="352"/>
      <c r="E8" s="347" t="s">
        <v>1403</v>
      </c>
      <c r="F8" s="348">
        <f ca="1">INDIRECT("'数据-取费表'!ai"&amp;$G$1)</f>
        <v>365</v>
      </c>
      <c r="G8" s="1849"/>
      <c r="H8" s="349"/>
      <c r="I8" s="3275"/>
      <c r="J8" s="351"/>
      <c r="K8" s="352"/>
      <c r="L8" s="347" t="s">
        <v>1403</v>
      </c>
      <c r="M8" s="348">
        <f ca="1">INDIRECT("'数据-取费表'!ai"&amp;$G$1)</f>
        <v>365</v>
      </c>
    </row>
    <row r="9" spans="1:37" ht="18" customHeight="1">
      <c r="A9" s="349"/>
      <c r="B9" s="3276"/>
      <c r="C9" s="351"/>
      <c r="D9" s="352"/>
      <c r="E9" s="347" t="s">
        <v>1404</v>
      </c>
      <c r="F9" s="357">
        <f ca="1">INDIRECT("'数据-取费表'!w"&amp;$G$1)</f>
        <v>0.1</v>
      </c>
      <c r="G9" s="1849"/>
      <c r="H9" s="349"/>
      <c r="I9" s="3276"/>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6987</v>
      </c>
      <c r="D13" s="1332" t="s">
        <v>1411</v>
      </c>
      <c r="E13" s="1332" t="s">
        <v>1412</v>
      </c>
      <c r="F13" s="1333">
        <f ca="1">INDIRECT("'数据-取费表'!y"&amp;$G$1)</f>
        <v>1</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425</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277.2</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83.76</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191.88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10.5</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32</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1174</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33945</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20946</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-47400</v>
      </c>
      <c r="D46" s="1870" t="str">
        <f>C2</f>
        <v>万元</v>
      </c>
      <c r="E46" s="1864"/>
      <c r="F46" s="1864"/>
      <c r="I46" s="1871" t="s">
        <v>1517</v>
      </c>
      <c r="J46" s="1872"/>
      <c r="K46" s="1873"/>
      <c r="L46" s="1874">
        <f ca="1">IF(M47="住宅",0,IF(L48&gt;J51,L60,J60))</f>
        <v>73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33945</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73</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1890">
        <v>2018</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12710</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77" t="s">
        <v>1544</v>
      </c>
      <c r="L53" s="3278"/>
      <c r="O53" s="1882" t="s">
        <v>1043</v>
      </c>
      <c r="P53" s="1883" t="s">
        <v>1545</v>
      </c>
      <c r="Q53" s="1884">
        <f ca="1">Q47+Q48</f>
        <v>34018</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0.23899999999999999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6987</v>
      </c>
      <c r="D56" s="1912"/>
      <c r="E56" s="1913"/>
      <c r="F56" s="1905"/>
      <c r="I56" s="1914" t="s">
        <v>1550</v>
      </c>
      <c r="J56" s="1915" t="s">
        <v>3076</v>
      </c>
      <c r="K56" s="1885" t="s">
        <v>1551</v>
      </c>
      <c r="L56" s="1888" t="str">
        <f ca="1">IF(L48&lt;J51,"——",L48-J53)</f>
        <v>——</v>
      </c>
      <c r="O56" s="1882" t="s">
        <v>1037</v>
      </c>
      <c r="P56" s="1883" t="s">
        <v>1524</v>
      </c>
      <c r="Q56" s="1884">
        <f ca="1">C40+J29</f>
        <v>33945</v>
      </c>
      <c r="R56" s="1884" t="s">
        <v>1525</v>
      </c>
    </row>
    <row r="57" spans="1:18" s="1840" customFormat="1" ht="24.75" thickBot="1">
      <c r="A57" s="1916"/>
      <c r="B57" s="1170" t="s">
        <v>1474</v>
      </c>
      <c r="C57" s="282">
        <f ca="1">C29</f>
        <v>6987</v>
      </c>
      <c r="D57" s="1917"/>
      <c r="E57" s="1918"/>
      <c r="F57" s="1919"/>
      <c r="I57" s="1920" t="s">
        <v>1552</v>
      </c>
      <c r="J57" s="1921">
        <f ca="1">IF(OR(M47="住宅",J51&lt;L48,J56="是"),"——",J51-L48)</f>
        <v>14.32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33945</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10.5</v>
      </c>
      <c r="D65" s="1184" t="s">
        <v>1450</v>
      </c>
      <c r="E65" s="1170" t="s">
        <v>1418</v>
      </c>
      <c r="F65" s="376">
        <f t="shared" ca="1" si="0"/>
        <v>1.5E-3</v>
      </c>
      <c r="I65" s="1927" t="s">
        <v>1575</v>
      </c>
      <c r="J65" s="1928">
        <v>40</v>
      </c>
      <c r="K65" s="1928">
        <v>30</v>
      </c>
      <c r="L65" s="1928">
        <v>50</v>
      </c>
      <c r="M65" s="1930">
        <v>0.02</v>
      </c>
      <c r="O65" s="1882" t="s">
        <v>1037</v>
      </c>
      <c r="P65" s="1883" t="s">
        <v>1524</v>
      </c>
      <c r="Q65" s="1884">
        <f ca="1">C40+J29</f>
        <v>33945</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12710</v>
      </c>
      <c r="R67" s="1884" t="s">
        <v>1578</v>
      </c>
    </row>
    <row r="68" spans="1:18" s="1840" customFormat="1" ht="16.5" thickBot="1">
      <c r="A68" s="1167" t="s">
        <v>1029</v>
      </c>
      <c r="B68" s="1168" t="s">
        <v>1481</v>
      </c>
      <c r="C68" s="346">
        <f ca="1">ROUND(C67*(1-((1+F70)/(1+F68))^F69)/(F68-F70),0)</f>
        <v>-13455</v>
      </c>
      <c r="D68" s="1185" t="s">
        <v>1465</v>
      </c>
      <c r="E68" s="1170" t="s">
        <v>1466</v>
      </c>
      <c r="F68" s="357">
        <f ca="1">F40</f>
        <v>4.4999999999999998E-2</v>
      </c>
      <c r="O68" s="1892" t="s">
        <v>1040</v>
      </c>
      <c r="P68" s="1932" t="s">
        <v>1579</v>
      </c>
      <c r="Q68" s="1884">
        <f ca="1">ROUND(Q69-Q70*Q71,0)</f>
        <v>615</v>
      </c>
      <c r="R68" s="1884" t="s">
        <v>1048</v>
      </c>
    </row>
    <row r="69" spans="1:18" s="1840" customFormat="1" ht="13.5" thickBot="1">
      <c r="A69" s="1171"/>
      <c r="B69" s="1172"/>
      <c r="C69" s="351"/>
      <c r="D69" s="1190" t="s">
        <v>1469</v>
      </c>
      <c r="E69" s="1170" t="s">
        <v>1470</v>
      </c>
      <c r="F69" s="379">
        <f ca="1">F41</f>
        <v>44.68</v>
      </c>
      <c r="O69" s="1892" t="s">
        <v>1045</v>
      </c>
      <c r="P69" s="1932" t="s">
        <v>1580</v>
      </c>
      <c r="Q69" s="1884">
        <f ca="1">C39</f>
        <v>1174</v>
      </c>
      <c r="R69" s="1884" t="s">
        <v>1525</v>
      </c>
    </row>
    <row r="70" spans="1:18" s="1840" customFormat="1" ht="13.5" thickBot="1">
      <c r="A70" s="1174"/>
      <c r="B70" s="1175"/>
      <c r="C70" s="355"/>
      <c r="D70" s="1186"/>
      <c r="E70" s="1170" t="s">
        <v>1473</v>
      </c>
      <c r="F70" s="1276"/>
      <c r="O70" s="1892" t="s">
        <v>1046</v>
      </c>
      <c r="P70" s="1932" t="s">
        <v>1581</v>
      </c>
      <c r="Q70" s="1884">
        <f ca="1">C13</f>
        <v>6987</v>
      </c>
      <c r="R70" s="1884" t="s">
        <v>1525</v>
      </c>
    </row>
    <row r="71" spans="1:18" s="1840" customFormat="1" ht="13.5" thickBot="1">
      <c r="A71" s="1191" t="s">
        <v>1030</v>
      </c>
      <c r="B71" s="1192" t="s">
        <v>1483</v>
      </c>
      <c r="C71" s="382">
        <f ca="1">ROUND(C68*10000/F71,0)</f>
        <v>-8302</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559</v>
      </c>
      <c r="D75" s="1840"/>
      <c r="E75" s="1840"/>
      <c r="F75" s="1840"/>
      <c r="K75" s="1866"/>
      <c r="L75" s="1840"/>
      <c r="O75" s="1882" t="s">
        <v>1043</v>
      </c>
      <c r="P75" s="1883" t="s">
        <v>1545</v>
      </c>
      <c r="Q75" s="1884">
        <f ca="1">Q65+Q66</f>
        <v>33945</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0.52400000000000002</v>
      </c>
    </row>
    <row r="80" spans="1:18">
      <c r="B80" s="386" t="s">
        <v>1507</v>
      </c>
      <c r="C80" s="318">
        <f ca="1">ROUND(C75/C39,3)</f>
        <v>0.47599999999999998</v>
      </c>
    </row>
    <row r="81" spans="2:3">
      <c r="B81" s="314" t="s">
        <v>1508</v>
      </c>
      <c r="C81" s="282"/>
    </row>
    <row r="82" spans="2:3">
      <c r="B82" s="317" t="s">
        <v>1509</v>
      </c>
      <c r="C82" s="319">
        <f ca="1">1-C83</f>
        <v>0.79400000000000004</v>
      </c>
    </row>
    <row r="83" spans="2:3">
      <c r="B83" s="317" t="s">
        <v>1510</v>
      </c>
      <c r="C83" s="318">
        <f ca="1">ROUND(C13/C40,3)</f>
        <v>0.20599999999999999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6" t="str">
        <f>IF(项目基本情况!B9="房地产市场价值","估价结果一览表","结果表-2")</f>
        <v>估价结果一览表</v>
      </c>
      <c r="B1" s="3046"/>
      <c r="C1" s="3046"/>
      <c r="D1" s="3046"/>
      <c r="E1" s="3046"/>
      <c r="F1" s="3046"/>
      <c r="G1" s="3046"/>
      <c r="H1" s="3046"/>
      <c r="I1" s="3046"/>
    </row>
    <row r="2" spans="1:9" ht="30" customHeight="1" thickTop="1">
      <c r="A2" s="3047" t="s">
        <v>1637</v>
      </c>
      <c r="B2" s="3047" t="s">
        <v>1638</v>
      </c>
      <c r="C2" s="3047" t="s">
        <v>1639</v>
      </c>
      <c r="D2" s="3047" t="str">
        <f>结果表!D116</f>
        <v>出让国有建设用地使用权价值</v>
      </c>
      <c r="E2" s="3047"/>
      <c r="F2" s="3047" t="str">
        <f>结果表!F116</f>
        <v>在建建筑物价值</v>
      </c>
      <c r="G2" s="3047"/>
      <c r="H2" s="3047" t="str">
        <f>IF(项目基本情况!B9="房地产市场价值","房地产市场价值","房地产价值")</f>
        <v>房地产市场价值</v>
      </c>
      <c r="I2" s="3047"/>
    </row>
    <row r="3" spans="1:9" ht="15">
      <c r="A3" s="3048"/>
      <c r="B3" s="3048"/>
      <c r="C3" s="3048"/>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t="e">
        <f ca="1">结果表!D118</f>
        <v>#REF!</v>
      </c>
      <c r="E4" s="1045" t="e">
        <f ca="1">结果表!E118</f>
        <v>#REF!</v>
      </c>
      <c r="F4" s="1045" t="e">
        <f ca="1">结果表!F118</f>
        <v>#REF!</v>
      </c>
      <c r="G4" s="1045" t="e">
        <f ca="1">结果表!G118</f>
        <v>#REF!</v>
      </c>
      <c r="H4" s="1045">
        <f ca="1">结果表!H118</f>
        <v>74484</v>
      </c>
      <c r="I4" s="1045">
        <f ca="1">结果表!I118</f>
        <v>23417</v>
      </c>
    </row>
    <row r="5" spans="1:9" ht="30" customHeight="1">
      <c r="A5" s="3048" t="s">
        <v>1636</v>
      </c>
      <c r="B5" s="3048"/>
      <c r="C5" s="3048"/>
      <c r="D5" s="3049" t="e">
        <f ca="1">结果表!D119</f>
        <v>#REF!</v>
      </c>
      <c r="E5" s="3049"/>
      <c r="F5" s="3049" t="e">
        <f ca="1">结果表!F119</f>
        <v>#REF!</v>
      </c>
      <c r="G5" s="3049"/>
      <c r="H5" s="3049" t="str">
        <f ca="1">结果表!H119</f>
        <v>柒亿肆仟肆佰捌拾肆万元整</v>
      </c>
      <c r="I5" s="3049"/>
    </row>
    <row r="6" spans="1:9" ht="15.75">
      <c r="A6" s="3050" t="str">
        <f>结果表!A120</f>
        <v/>
      </c>
      <c r="B6" s="3050"/>
      <c r="C6" s="3050"/>
      <c r="D6" s="3050">
        <f>结果表!D120</f>
        <v>0</v>
      </c>
      <c r="E6" s="3050"/>
      <c r="F6" s="3050"/>
      <c r="G6" s="3050"/>
      <c r="H6" s="3050"/>
      <c r="I6" s="3050"/>
    </row>
    <row r="7" spans="1:9" ht="15">
      <c r="A7" s="3048" t="s">
        <v>1636</v>
      </c>
      <c r="B7" s="3048"/>
      <c r="C7" s="3048"/>
      <c r="D7" s="3051" t="str">
        <f>结果表!D121</f>
        <v>零元整</v>
      </c>
      <c r="E7" s="3052"/>
      <c r="F7" s="3052"/>
      <c r="G7" s="3052"/>
      <c r="H7" s="3052"/>
      <c r="I7" s="3053"/>
    </row>
    <row r="8" spans="1:9" ht="15.75">
      <c r="A8" s="3050" t="str">
        <f>结果表!A122</f>
        <v/>
      </c>
      <c r="B8" s="3050"/>
      <c r="C8" s="3050"/>
      <c r="D8" s="3050">
        <f ca="1">结果表!D122</f>
        <v>74484</v>
      </c>
      <c r="E8" s="3050"/>
      <c r="F8" s="3050"/>
      <c r="G8" s="3050"/>
      <c r="H8" s="3050"/>
      <c r="I8" s="3050"/>
    </row>
    <row r="9" spans="1:9" ht="15">
      <c r="A9" s="3048" t="s">
        <v>1636</v>
      </c>
      <c r="B9" s="3048"/>
      <c r="C9" s="3048"/>
      <c r="D9" s="3049" t="str">
        <f ca="1">结果表!D123</f>
        <v>柒亿肆仟肆佰捌拾肆万元整</v>
      </c>
      <c r="E9" s="3049"/>
      <c r="F9" s="3049"/>
      <c r="G9" s="3049"/>
      <c r="H9" s="3049"/>
      <c r="I9" s="3049"/>
    </row>
    <row r="10" spans="1:9" ht="15.75">
      <c r="A10" s="3050" t="str">
        <f>结果表!A124</f>
        <v/>
      </c>
      <c r="B10" s="3050"/>
      <c r="C10" s="3050"/>
      <c r="D10" s="3050" t="str">
        <f>结果表!D124</f>
        <v>——</v>
      </c>
      <c r="E10" s="3050"/>
      <c r="F10" s="3050"/>
      <c r="G10" s="3050"/>
      <c r="H10" s="3050"/>
      <c r="I10" s="3050"/>
    </row>
    <row r="11" spans="1:9" ht="15">
      <c r="A11" s="3048" t="s">
        <v>1636</v>
      </c>
      <c r="B11" s="3048"/>
      <c r="C11" s="3048"/>
      <c r="D11" s="3049" t="e">
        <f>结果表!D125</f>
        <v>#VALUE!</v>
      </c>
      <c r="E11" s="3049"/>
      <c r="F11" s="3049"/>
      <c r="G11" s="3049"/>
      <c r="H11" s="3049"/>
      <c r="I11" s="3049"/>
    </row>
    <row r="12" spans="1:9" ht="15.75">
      <c r="A12" s="3050" t="str">
        <f>结果表!A126</f>
        <v/>
      </c>
      <c r="B12" s="3050"/>
      <c r="C12" s="3050"/>
      <c r="D12" s="3050" t="str">
        <f>结果表!D126</f>
        <v>——</v>
      </c>
      <c r="E12" s="3050"/>
      <c r="F12" s="3050"/>
      <c r="G12" s="3050"/>
      <c r="H12" s="3050"/>
      <c r="I12" s="3050"/>
    </row>
    <row r="13" spans="1:9" ht="15.75" thickBot="1">
      <c r="A13" s="3054" t="s">
        <v>1636</v>
      </c>
      <c r="B13" s="3054"/>
      <c r="C13" s="3054"/>
      <c r="D13" s="3055" t="e">
        <f>结果表!D127</f>
        <v>#VALUE!</v>
      </c>
      <c r="E13" s="3055"/>
      <c r="F13" s="3055"/>
      <c r="G13" s="3055"/>
      <c r="H13" s="3055"/>
      <c r="I13" s="3055"/>
    </row>
    <row r="14" spans="1:9" ht="15" thickTop="1">
      <c r="A14" s="3056" t="s">
        <v>1641</v>
      </c>
      <c r="B14" s="3056"/>
      <c r="C14" s="3056"/>
      <c r="D14" s="3056"/>
      <c r="E14" s="3056"/>
      <c r="F14" s="3056"/>
      <c r="G14" s="3056"/>
      <c r="H14" s="3056"/>
      <c r="I14" s="3056"/>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20" sqref="C20"/>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row r="13" spans="1:4">
      <c r="C13" s="2969">
        <f ca="1">结果表!G20</f>
        <v>23417</v>
      </c>
    </row>
    <row r="14" spans="1:4">
      <c r="C14" s="2969">
        <f ca="1">C13*B1/10000</f>
        <v>37947.084581000003</v>
      </c>
    </row>
    <row r="15" spans="1:4">
      <c r="C15" s="2969">
        <f ca="1">C13*B2/10000</f>
        <v>36537.638768000004</v>
      </c>
    </row>
    <row r="17" spans="3:3">
      <c r="C17" s="3360"/>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F27" sqref="F27"/>
    </sheetView>
  </sheetViews>
  <sheetFormatPr defaultRowHeight="13.5"/>
  <cols>
    <col min="1" max="1" width="14.75" customWidth="1"/>
    <col min="3" max="3" width="11" customWidth="1"/>
  </cols>
  <sheetData>
    <row r="26" spans="1:3">
      <c r="A26" s="2967" t="s">
        <v>3104</v>
      </c>
      <c r="B26">
        <v>200</v>
      </c>
      <c r="C26">
        <v>30000</v>
      </c>
    </row>
    <row r="27" spans="1:3">
      <c r="A27" s="2967" t="s">
        <v>3105</v>
      </c>
      <c r="B27">
        <v>75</v>
      </c>
      <c r="C27">
        <v>25000</v>
      </c>
    </row>
    <row r="28" spans="1:3">
      <c r="A28" s="2967" t="s">
        <v>3106</v>
      </c>
      <c r="B28">
        <v>65</v>
      </c>
      <c r="C28">
        <v>30000</v>
      </c>
    </row>
    <row r="55" spans="1:3">
      <c r="A55" s="2967" t="s">
        <v>3132</v>
      </c>
      <c r="B55">
        <v>54</v>
      </c>
      <c r="C55">
        <v>30700</v>
      </c>
    </row>
    <row r="56" spans="1:3">
      <c r="A56" s="2967" t="s">
        <v>3132</v>
      </c>
      <c r="B56">
        <v>167</v>
      </c>
      <c r="C56">
        <v>30000</v>
      </c>
    </row>
    <row r="57" spans="1:3">
      <c r="A57" s="2967" t="s">
        <v>3133</v>
      </c>
      <c r="B57">
        <v>143</v>
      </c>
      <c r="C57">
        <v>33000</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0"/>
  <sheetViews>
    <sheetView workbookViewId="0">
      <selection activeCell="J29" sqref="J29"/>
    </sheetView>
  </sheetViews>
  <sheetFormatPr defaultRowHeight="13.5"/>
  <cols>
    <col min="2" max="2" width="19" customWidth="1"/>
    <col min="3" max="3" width="17.5" customWidth="1"/>
    <col min="4" max="4" width="15.125" customWidth="1"/>
  </cols>
  <sheetData>
    <row r="1" spans="1:4" ht="14.25">
      <c r="A1" s="2998" t="s">
        <v>3184</v>
      </c>
      <c r="B1" s="2998" t="s">
        <v>3185</v>
      </c>
      <c r="C1" s="2998" t="s">
        <v>3186</v>
      </c>
      <c r="D1" s="2999" t="s">
        <v>3187</v>
      </c>
    </row>
    <row r="2" spans="1:4">
      <c r="A2" s="3000">
        <v>101</v>
      </c>
      <c r="B2" s="3000" t="s">
        <v>3188</v>
      </c>
      <c r="C2" s="3001" t="s">
        <v>3189</v>
      </c>
      <c r="D2" s="3002">
        <v>89.03</v>
      </c>
    </row>
    <row r="3" spans="1:4">
      <c r="A3" s="3000">
        <v>102</v>
      </c>
      <c r="B3" s="3000" t="s">
        <v>3190</v>
      </c>
      <c r="C3" s="3001" t="s">
        <v>3191</v>
      </c>
      <c r="D3" s="3002">
        <v>70.77</v>
      </c>
    </row>
    <row r="4" spans="1:4">
      <c r="A4" s="3000">
        <v>103</v>
      </c>
      <c r="B4" s="3000" t="s">
        <v>3192</v>
      </c>
      <c r="C4" s="3001" t="s">
        <v>3193</v>
      </c>
      <c r="D4" s="3002">
        <v>127.93</v>
      </c>
    </row>
    <row r="5" spans="1:4">
      <c r="A5" s="3000">
        <v>104</v>
      </c>
      <c r="B5" s="3000" t="s">
        <v>3194</v>
      </c>
      <c r="C5" s="3001" t="s">
        <v>3195</v>
      </c>
      <c r="D5" s="3002">
        <v>165.57</v>
      </c>
    </row>
    <row r="6" spans="1:4">
      <c r="A6" s="3000">
        <v>105</v>
      </c>
      <c r="B6" s="3000" t="s">
        <v>3196</v>
      </c>
      <c r="C6" s="3001" t="s">
        <v>3197</v>
      </c>
      <c r="D6" s="3002">
        <v>125.17</v>
      </c>
    </row>
    <row r="7" spans="1:4">
      <c r="A7" s="3000">
        <v>106</v>
      </c>
      <c r="B7" s="3000" t="s">
        <v>3198</v>
      </c>
      <c r="C7" s="3001" t="s">
        <v>3199</v>
      </c>
      <c r="D7" s="3002">
        <v>239.87</v>
      </c>
    </row>
    <row r="8" spans="1:4">
      <c r="A8" s="3000">
        <v>107</v>
      </c>
      <c r="B8" s="3000" t="s">
        <v>3200</v>
      </c>
      <c r="C8" s="3001" t="s">
        <v>3201</v>
      </c>
      <c r="D8" s="3002">
        <v>155.21</v>
      </c>
    </row>
    <row r="9" spans="1:4">
      <c r="A9" s="3000">
        <v>108</v>
      </c>
      <c r="B9" s="3000" t="s">
        <v>3202</v>
      </c>
      <c r="C9" s="3001" t="s">
        <v>3203</v>
      </c>
      <c r="D9" s="3002">
        <v>208.7</v>
      </c>
    </row>
    <row r="10" spans="1:4">
      <c r="A10" s="3000">
        <v>109</v>
      </c>
      <c r="B10" s="3000" t="s">
        <v>3204</v>
      </c>
      <c r="C10" s="3001" t="s">
        <v>3205</v>
      </c>
      <c r="D10" s="3002">
        <v>203.52</v>
      </c>
    </row>
    <row r="11" spans="1:4">
      <c r="A11" s="3000">
        <v>110</v>
      </c>
      <c r="B11" s="3000" t="s">
        <v>3206</v>
      </c>
      <c r="C11" s="3001" t="s">
        <v>3207</v>
      </c>
      <c r="D11" s="3002">
        <v>192.7</v>
      </c>
    </row>
    <row r="12" spans="1:4">
      <c r="A12" s="3000">
        <v>111</v>
      </c>
      <c r="B12" s="3000" t="s">
        <v>3208</v>
      </c>
      <c r="C12" s="3001" t="s">
        <v>3209</v>
      </c>
      <c r="D12" s="3002">
        <v>204.97</v>
      </c>
    </row>
    <row r="13" spans="1:4">
      <c r="A13" s="3000">
        <v>112</v>
      </c>
      <c r="B13" s="3000" t="s">
        <v>3210</v>
      </c>
      <c r="C13" s="3001" t="s">
        <v>3211</v>
      </c>
      <c r="D13" s="3002">
        <v>203.52</v>
      </c>
    </row>
    <row r="14" spans="1:4">
      <c r="A14" s="3000">
        <v>113</v>
      </c>
      <c r="B14" s="3000" t="s">
        <v>3212</v>
      </c>
      <c r="C14" s="3001" t="s">
        <v>3213</v>
      </c>
      <c r="D14" s="3002">
        <v>204.98</v>
      </c>
    </row>
    <row r="15" spans="1:4">
      <c r="A15" s="3000">
        <v>114</v>
      </c>
      <c r="B15" s="3000" t="s">
        <v>3214</v>
      </c>
      <c r="C15" s="3001" t="s">
        <v>3215</v>
      </c>
      <c r="D15" s="3002">
        <v>192.72</v>
      </c>
    </row>
    <row r="16" spans="1:4">
      <c r="A16" s="3000">
        <v>115</v>
      </c>
      <c r="B16" s="3000" t="s">
        <v>3216</v>
      </c>
      <c r="C16" s="3001" t="s">
        <v>3217</v>
      </c>
      <c r="D16" s="3002">
        <v>203.52</v>
      </c>
    </row>
    <row r="17" spans="1:4">
      <c r="A17" s="3000">
        <v>116</v>
      </c>
      <c r="B17" s="3000" t="s">
        <v>3218</v>
      </c>
      <c r="C17" s="3001" t="s">
        <v>3219</v>
      </c>
      <c r="D17" s="3002">
        <v>208.81</v>
      </c>
    </row>
    <row r="18" spans="1:4">
      <c r="A18" s="3000">
        <v>117</v>
      </c>
      <c r="B18" s="3000" t="s">
        <v>3220</v>
      </c>
      <c r="C18" s="3001" t="s">
        <v>3221</v>
      </c>
      <c r="D18" s="3002">
        <v>154.65</v>
      </c>
    </row>
    <row r="19" spans="1:4">
      <c r="A19" s="3000">
        <v>118</v>
      </c>
      <c r="B19" s="3000" t="s">
        <v>3222</v>
      </c>
      <c r="C19" s="3001" t="s">
        <v>3223</v>
      </c>
      <c r="D19" s="3002">
        <v>239.78</v>
      </c>
    </row>
    <row r="20" spans="1:4">
      <c r="A20" s="3000">
        <v>119</v>
      </c>
      <c r="B20" s="3000" t="s">
        <v>3224</v>
      </c>
      <c r="C20" s="3001" t="s">
        <v>3225</v>
      </c>
      <c r="D20" s="3002">
        <v>125.17</v>
      </c>
    </row>
    <row r="21" spans="1:4">
      <c r="A21" s="3000">
        <v>120</v>
      </c>
      <c r="B21" s="3000" t="s">
        <v>3226</v>
      </c>
      <c r="C21" s="3001" t="s">
        <v>3227</v>
      </c>
      <c r="D21" s="3002">
        <v>169.36</v>
      </c>
    </row>
    <row r="22" spans="1:4">
      <c r="A22" s="3000">
        <v>121</v>
      </c>
      <c r="B22" s="3000" t="s">
        <v>3228</v>
      </c>
      <c r="C22" s="3001" t="s">
        <v>3229</v>
      </c>
      <c r="D22" s="3002">
        <v>76.06</v>
      </c>
    </row>
    <row r="23" spans="1:4">
      <c r="A23" s="3000">
        <v>122</v>
      </c>
      <c r="B23" s="3000" t="s">
        <v>3230</v>
      </c>
      <c r="C23" s="3001" t="s">
        <v>3231</v>
      </c>
      <c r="D23" s="3002">
        <v>80.790000000000006</v>
      </c>
    </row>
    <row r="24" spans="1:4">
      <c r="A24" s="3000">
        <v>123</v>
      </c>
      <c r="B24" s="3000" t="s">
        <v>3232</v>
      </c>
      <c r="C24" s="3001" t="s">
        <v>3233</v>
      </c>
      <c r="D24" s="3002">
        <v>70.77</v>
      </c>
    </row>
    <row r="25" spans="1:4">
      <c r="A25" s="3000">
        <v>124</v>
      </c>
      <c r="B25" s="3000" t="s">
        <v>3234</v>
      </c>
      <c r="C25" s="3001" t="s">
        <v>3235</v>
      </c>
      <c r="D25" s="3002">
        <v>89.03</v>
      </c>
    </row>
    <row r="26" spans="1:4">
      <c r="A26" s="3000">
        <v>125</v>
      </c>
      <c r="B26" s="3000" t="s">
        <v>3236</v>
      </c>
      <c r="C26" s="3001" t="s">
        <v>3237</v>
      </c>
      <c r="D26" s="3002">
        <v>197.3</v>
      </c>
    </row>
    <row r="27" spans="1:4">
      <c r="A27" s="3000">
        <v>126</v>
      </c>
      <c r="B27" s="3000" t="s">
        <v>3238</v>
      </c>
      <c r="C27" s="3001" t="s">
        <v>3239</v>
      </c>
      <c r="D27" s="3002">
        <v>142.59</v>
      </c>
    </row>
    <row r="28" spans="1:4">
      <c r="A28" s="3000">
        <v>127</v>
      </c>
      <c r="B28" s="3000" t="s">
        <v>3240</v>
      </c>
      <c r="C28" s="3001" t="s">
        <v>3241</v>
      </c>
      <c r="D28" s="3002">
        <v>50.36</v>
      </c>
    </row>
    <row r="29" spans="1:4">
      <c r="A29" s="3000">
        <v>128</v>
      </c>
      <c r="B29" s="3000" t="s">
        <v>3242</v>
      </c>
      <c r="C29" s="3001" t="s">
        <v>3243</v>
      </c>
      <c r="D29" s="3002">
        <v>93.45</v>
      </c>
    </row>
    <row r="30" spans="1:4">
      <c r="A30" s="3000">
        <v>129</v>
      </c>
      <c r="B30" s="3000" t="s">
        <v>3244</v>
      </c>
      <c r="C30" s="3001" t="s">
        <v>3245</v>
      </c>
      <c r="D30" s="3002">
        <v>141.13999999999999</v>
      </c>
    </row>
    <row r="31" spans="1:4">
      <c r="A31" s="3000">
        <v>130</v>
      </c>
      <c r="B31" s="3000" t="s">
        <v>3246</v>
      </c>
      <c r="C31" s="3001" t="s">
        <v>3247</v>
      </c>
      <c r="D31" s="3002">
        <v>196.98</v>
      </c>
    </row>
    <row r="32" spans="1:4">
      <c r="A32" s="3000">
        <v>131</v>
      </c>
      <c r="B32" s="3000" t="s">
        <v>3248</v>
      </c>
      <c r="C32" s="3001" t="s">
        <v>3249</v>
      </c>
      <c r="D32" s="3002">
        <v>280.64</v>
      </c>
    </row>
    <row r="33" spans="1:4">
      <c r="A33" s="3000">
        <v>133</v>
      </c>
      <c r="B33" s="3000" t="s">
        <v>3250</v>
      </c>
      <c r="C33" s="3001" t="s">
        <v>3251</v>
      </c>
      <c r="D33" s="3002">
        <v>150.03</v>
      </c>
    </row>
    <row r="34" spans="1:4">
      <c r="A34" s="3000">
        <v>134</v>
      </c>
      <c r="B34" s="3000" t="s">
        <v>3252</v>
      </c>
      <c r="C34" s="3001" t="s">
        <v>3253</v>
      </c>
      <c r="D34" s="3002">
        <v>45.49</v>
      </c>
    </row>
    <row r="35" spans="1:4">
      <c r="A35" s="3000">
        <v>135</v>
      </c>
      <c r="B35" s="3000" t="s">
        <v>3254</v>
      </c>
      <c r="C35" s="3001" t="s">
        <v>3255</v>
      </c>
      <c r="D35" s="3002">
        <v>214.99</v>
      </c>
    </row>
    <row r="36" spans="1:4">
      <c r="A36" s="3000">
        <v>136</v>
      </c>
      <c r="B36" s="3000" t="s">
        <v>3256</v>
      </c>
      <c r="C36" s="3001" t="s">
        <v>3257</v>
      </c>
      <c r="D36" s="3002">
        <v>284.02</v>
      </c>
    </row>
    <row r="37" spans="1:4">
      <c r="A37" s="3000">
        <v>137</v>
      </c>
      <c r="B37" s="3000" t="s">
        <v>3258</v>
      </c>
      <c r="C37" s="3001" t="s">
        <v>3259</v>
      </c>
      <c r="D37" s="3002">
        <v>232.59</v>
      </c>
    </row>
    <row r="38" spans="1:4">
      <c r="A38" s="3000">
        <v>138</v>
      </c>
      <c r="B38" s="3000" t="s">
        <v>3260</v>
      </c>
      <c r="C38" s="3001" t="s">
        <v>3261</v>
      </c>
      <c r="D38" s="3002">
        <v>122.53</v>
      </c>
    </row>
    <row r="39" spans="1:4">
      <c r="A39" s="3000">
        <v>139</v>
      </c>
      <c r="B39" s="3000" t="s">
        <v>3262</v>
      </c>
      <c r="C39" s="3001" t="s">
        <v>3263</v>
      </c>
      <c r="D39" s="3002">
        <v>50.37</v>
      </c>
    </row>
    <row r="40" spans="1:4">
      <c r="A40" s="3000">
        <v>140</v>
      </c>
      <c r="B40" s="3000" t="s">
        <v>3264</v>
      </c>
      <c r="C40" s="3001" t="s">
        <v>3265</v>
      </c>
      <c r="D40" s="3002">
        <v>126.94</v>
      </c>
    </row>
    <row r="41" spans="1:4">
      <c r="A41" s="3000">
        <v>141</v>
      </c>
      <c r="B41" s="3000" t="s">
        <v>3266</v>
      </c>
      <c r="C41" s="3001" t="s">
        <v>3267</v>
      </c>
      <c r="D41" s="3002">
        <v>182.17</v>
      </c>
    </row>
    <row r="42" spans="1:4">
      <c r="A42" s="3000">
        <v>201</v>
      </c>
      <c r="B42" s="3000" t="s">
        <v>3268</v>
      </c>
      <c r="C42" s="3000" t="s">
        <v>3268</v>
      </c>
      <c r="D42" s="3002">
        <v>156.65</v>
      </c>
    </row>
    <row r="43" spans="1:4">
      <c r="A43" s="3000">
        <v>202</v>
      </c>
      <c r="B43" s="3000" t="s">
        <v>3269</v>
      </c>
      <c r="C43" s="3000" t="s">
        <v>3269</v>
      </c>
      <c r="D43" s="3002">
        <v>156.65</v>
      </c>
    </row>
    <row r="44" spans="1:4">
      <c r="A44" s="3000">
        <v>203</v>
      </c>
      <c r="B44" s="3000" t="s">
        <v>3270</v>
      </c>
      <c r="C44" s="3000" t="s">
        <v>3270</v>
      </c>
      <c r="D44" s="3002">
        <v>510.13</v>
      </c>
    </row>
    <row r="45" spans="1:4">
      <c r="A45" s="3000">
        <v>204</v>
      </c>
      <c r="B45" s="3000" t="s">
        <v>3271</v>
      </c>
      <c r="C45" s="3000" t="s">
        <v>3271</v>
      </c>
      <c r="D45" s="3002">
        <v>394.88</v>
      </c>
    </row>
    <row r="46" spans="1:4">
      <c r="A46" s="3000">
        <v>205</v>
      </c>
      <c r="B46" s="3000" t="s">
        <v>3272</v>
      </c>
      <c r="C46" s="3000" t="s">
        <v>3272</v>
      </c>
      <c r="D46" s="3002">
        <v>235.88</v>
      </c>
    </row>
    <row r="47" spans="1:4">
      <c r="A47" s="3000">
        <v>206</v>
      </c>
      <c r="B47" s="3000" t="s">
        <v>3273</v>
      </c>
      <c r="C47" s="3000" t="s">
        <v>3273</v>
      </c>
      <c r="D47" s="3002">
        <v>282.67</v>
      </c>
    </row>
    <row r="48" spans="1:4">
      <c r="A48" s="3000">
        <v>207</v>
      </c>
      <c r="B48" s="3000" t="s">
        <v>3274</v>
      </c>
      <c r="C48" s="3000" t="s">
        <v>3274</v>
      </c>
      <c r="D48" s="3002">
        <v>534.03</v>
      </c>
    </row>
    <row r="49" spans="1:4">
      <c r="A49" s="3000">
        <v>208</v>
      </c>
      <c r="B49" s="3000" t="s">
        <v>3275</v>
      </c>
      <c r="C49" s="3000" t="s">
        <v>3275</v>
      </c>
      <c r="D49" s="3002">
        <v>342.36</v>
      </c>
    </row>
    <row r="50" spans="1:4">
      <c r="A50" s="3000">
        <v>209</v>
      </c>
      <c r="B50" s="3000" t="s">
        <v>3276</v>
      </c>
      <c r="C50" s="3000" t="s">
        <v>3276</v>
      </c>
      <c r="D50" s="3002">
        <v>316.57</v>
      </c>
    </row>
    <row r="51" spans="1:4">
      <c r="A51" s="3000">
        <v>210</v>
      </c>
      <c r="B51" s="3000" t="s">
        <v>3277</v>
      </c>
      <c r="C51" s="3000" t="s">
        <v>3277</v>
      </c>
      <c r="D51" s="3002">
        <v>341.2</v>
      </c>
    </row>
    <row r="52" spans="1:4">
      <c r="A52" s="3000">
        <v>211</v>
      </c>
      <c r="B52" s="3000" t="s">
        <v>3278</v>
      </c>
      <c r="C52" s="3000" t="s">
        <v>3278</v>
      </c>
      <c r="D52" s="3002">
        <v>535.38</v>
      </c>
    </row>
    <row r="53" spans="1:4">
      <c r="A53" s="3000">
        <v>212</v>
      </c>
      <c r="B53" s="3000" t="s">
        <v>3279</v>
      </c>
      <c r="C53" s="3000" t="s">
        <v>3279</v>
      </c>
      <c r="D53" s="3002">
        <v>282.67</v>
      </c>
    </row>
    <row r="54" spans="1:4">
      <c r="A54" s="3000">
        <v>213</v>
      </c>
      <c r="B54" s="3000" t="s">
        <v>3280</v>
      </c>
      <c r="C54" s="3000" t="s">
        <v>3280</v>
      </c>
      <c r="D54" s="3002">
        <v>235.22</v>
      </c>
    </row>
    <row r="55" spans="1:4">
      <c r="A55" s="3000">
        <v>214</v>
      </c>
      <c r="B55" s="3000" t="s">
        <v>3281</v>
      </c>
      <c r="C55" s="3000" t="s">
        <v>3281</v>
      </c>
      <c r="D55" s="3002">
        <v>415.69</v>
      </c>
    </row>
    <row r="56" spans="1:4">
      <c r="A56" s="3000">
        <v>215</v>
      </c>
      <c r="B56" s="3000" t="s">
        <v>3282</v>
      </c>
      <c r="C56" s="3000" t="s">
        <v>3282</v>
      </c>
      <c r="D56" s="3002">
        <v>487.52</v>
      </c>
    </row>
    <row r="57" spans="1:4">
      <c r="A57" s="3000">
        <v>216</v>
      </c>
      <c r="B57" s="3000" t="s">
        <v>3283</v>
      </c>
      <c r="C57" s="3000" t="s">
        <v>3283</v>
      </c>
      <c r="D57" s="3002">
        <v>156.65</v>
      </c>
    </row>
    <row r="58" spans="1:4">
      <c r="A58" s="3000">
        <v>217</v>
      </c>
      <c r="B58" s="3000" t="s">
        <v>3284</v>
      </c>
      <c r="C58" s="3000" t="s">
        <v>3284</v>
      </c>
      <c r="D58" s="3002">
        <v>156.61000000000001</v>
      </c>
    </row>
    <row r="59" spans="1:4">
      <c r="A59" s="3000">
        <v>219</v>
      </c>
      <c r="B59" s="3000" t="s">
        <v>3285</v>
      </c>
      <c r="C59" s="3000" t="s">
        <v>3285</v>
      </c>
      <c r="D59" s="3002">
        <v>163.11000000000001</v>
      </c>
    </row>
    <row r="60" spans="1:4">
      <c r="A60" s="3000">
        <v>221</v>
      </c>
      <c r="B60" s="3000" t="s">
        <v>3286</v>
      </c>
      <c r="C60" s="3000" t="s">
        <v>3286</v>
      </c>
      <c r="D60" s="3002">
        <v>220.6</v>
      </c>
    </row>
    <row r="61" spans="1:4">
      <c r="A61" s="3000">
        <v>224</v>
      </c>
      <c r="B61" s="3000" t="s">
        <v>3287</v>
      </c>
      <c r="C61" s="3000" t="s">
        <v>3287</v>
      </c>
      <c r="D61" s="3002">
        <v>220.6</v>
      </c>
    </row>
    <row r="62" spans="1:4">
      <c r="A62" s="3000">
        <v>225</v>
      </c>
      <c r="B62" s="3000" t="s">
        <v>3288</v>
      </c>
      <c r="C62" s="3000" t="s">
        <v>3288</v>
      </c>
      <c r="D62" s="3002">
        <v>213.77</v>
      </c>
    </row>
    <row r="63" spans="1:4">
      <c r="A63" s="3000">
        <v>226</v>
      </c>
      <c r="B63" s="3000" t="s">
        <v>3289</v>
      </c>
      <c r="C63" s="3000" t="s">
        <v>3289</v>
      </c>
      <c r="D63" s="3002">
        <v>340.2</v>
      </c>
    </row>
    <row r="64" spans="1:4">
      <c r="A64" s="3000">
        <v>301</v>
      </c>
      <c r="B64" s="3000" t="s">
        <v>3290</v>
      </c>
      <c r="C64" s="3000" t="s">
        <v>3290</v>
      </c>
      <c r="D64" s="3002">
        <v>161.58000000000001</v>
      </c>
    </row>
    <row r="65" spans="1:4">
      <c r="A65" s="3000">
        <v>302</v>
      </c>
      <c r="B65" s="3000" t="s">
        <v>3291</v>
      </c>
      <c r="C65" s="3000" t="s">
        <v>3291</v>
      </c>
      <c r="D65" s="3002">
        <v>153.21</v>
      </c>
    </row>
    <row r="66" spans="1:4">
      <c r="A66" s="3000">
        <v>303</v>
      </c>
      <c r="B66" s="3000" t="s">
        <v>3292</v>
      </c>
      <c r="C66" s="3000" t="s">
        <v>3292</v>
      </c>
      <c r="D66" s="3002">
        <v>504.86</v>
      </c>
    </row>
    <row r="67" spans="1:4">
      <c r="A67" s="3000">
        <v>304</v>
      </c>
      <c r="B67" s="3000" t="s">
        <v>3293</v>
      </c>
      <c r="C67" s="3000" t="s">
        <v>3293</v>
      </c>
      <c r="D67" s="3002">
        <v>364.5</v>
      </c>
    </row>
    <row r="68" spans="1:4">
      <c r="A68" s="3000">
        <v>305</v>
      </c>
      <c r="B68" s="3000" t="s">
        <v>3294</v>
      </c>
      <c r="C68" s="3000" t="s">
        <v>3294</v>
      </c>
      <c r="D68" s="3002">
        <v>336.18</v>
      </c>
    </row>
    <row r="69" spans="1:4">
      <c r="A69" s="3000">
        <v>306</v>
      </c>
      <c r="B69" s="3000" t="s">
        <v>3295</v>
      </c>
      <c r="C69" s="3000" t="s">
        <v>3295</v>
      </c>
      <c r="D69" s="3002">
        <v>278.88</v>
      </c>
    </row>
    <row r="70" spans="1:4">
      <c r="A70" s="3000">
        <v>307</v>
      </c>
      <c r="B70" s="3000" t="s">
        <v>3296</v>
      </c>
      <c r="C70" s="3000" t="s">
        <v>3296</v>
      </c>
      <c r="D70" s="3002">
        <v>527.08000000000004</v>
      </c>
    </row>
    <row r="71" spans="1:4">
      <c r="A71" s="3000">
        <v>308</v>
      </c>
      <c r="B71" s="3000" t="s">
        <v>3297</v>
      </c>
      <c r="C71" s="3000" t="s">
        <v>3297</v>
      </c>
      <c r="D71" s="3002">
        <v>336.43</v>
      </c>
    </row>
    <row r="72" spans="1:4">
      <c r="A72" s="3000">
        <v>309</v>
      </c>
      <c r="B72" s="3000" t="s">
        <v>3298</v>
      </c>
      <c r="C72" s="3000" t="s">
        <v>3298</v>
      </c>
      <c r="D72" s="3002">
        <v>312.64999999999998</v>
      </c>
    </row>
    <row r="73" spans="1:4">
      <c r="A73" s="3000">
        <v>310</v>
      </c>
      <c r="B73" s="3000" t="s">
        <v>3299</v>
      </c>
      <c r="C73" s="3000" t="s">
        <v>3299</v>
      </c>
      <c r="D73" s="3002">
        <v>336.98</v>
      </c>
    </row>
    <row r="74" spans="1:4">
      <c r="A74" s="3000">
        <v>311</v>
      </c>
      <c r="B74" s="3000" t="s">
        <v>3300</v>
      </c>
      <c r="C74" s="3000" t="s">
        <v>3300</v>
      </c>
      <c r="D74" s="3002">
        <v>527.08000000000004</v>
      </c>
    </row>
    <row r="75" spans="1:4">
      <c r="A75" s="3000">
        <v>312</v>
      </c>
      <c r="B75" s="3000" t="s">
        <v>3301</v>
      </c>
      <c r="C75" s="3000" t="s">
        <v>3301</v>
      </c>
      <c r="D75" s="3002">
        <v>278.88</v>
      </c>
    </row>
    <row r="76" spans="1:4">
      <c r="A76" s="3000">
        <v>313</v>
      </c>
      <c r="B76" s="3000" t="s">
        <v>3302</v>
      </c>
      <c r="C76" s="3000" t="s">
        <v>3302</v>
      </c>
      <c r="D76" s="3002">
        <v>336.18</v>
      </c>
    </row>
    <row r="77" spans="1:4">
      <c r="A77" s="3000">
        <v>314</v>
      </c>
      <c r="B77" s="3000" t="s">
        <v>3303</v>
      </c>
      <c r="C77" s="3000" t="s">
        <v>3303</v>
      </c>
      <c r="D77" s="3002">
        <v>379.82</v>
      </c>
    </row>
    <row r="78" spans="1:4">
      <c r="A78" s="3000">
        <v>315</v>
      </c>
      <c r="B78" s="3000" t="s">
        <v>3304</v>
      </c>
      <c r="C78" s="3000" t="s">
        <v>3304</v>
      </c>
      <c r="D78" s="3002">
        <v>494.63</v>
      </c>
    </row>
    <row r="79" spans="1:4">
      <c r="A79" s="3000">
        <v>316</v>
      </c>
      <c r="B79" s="3000" t="s">
        <v>3305</v>
      </c>
      <c r="C79" s="3000" t="s">
        <v>3305</v>
      </c>
      <c r="D79" s="3002">
        <v>149.58000000000001</v>
      </c>
    </row>
    <row r="80" spans="1:4">
      <c r="A80" s="3000">
        <v>317</v>
      </c>
      <c r="B80" s="3000" t="s">
        <v>3306</v>
      </c>
      <c r="C80" s="3000" t="s">
        <v>3306</v>
      </c>
      <c r="D80" s="3002">
        <v>151.56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57" t="s">
        <v>1658</v>
      </c>
      <c r="B1" s="3057"/>
      <c r="C1" s="3057"/>
      <c r="D1" s="3057"/>
    </row>
    <row r="2" spans="1:4" ht="18">
      <c r="A2" s="3058" t="s">
        <v>1642</v>
      </c>
      <c r="B2" s="3058"/>
      <c r="C2" s="3058"/>
      <c r="D2" s="3058"/>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58" t="s">
        <v>1648</v>
      </c>
      <c r="B6" s="3058"/>
      <c r="C6" s="3058"/>
      <c r="D6" s="3058"/>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59" t="s">
        <v>1651</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1"/>
      <c r="C12" s="3061"/>
      <c r="D12" s="3061"/>
    </row>
    <row r="13" spans="1:4" ht="30" customHeight="1">
      <c r="A13" s="3060" t="str">
        <f>IF(项目基本情况!B8="抵押","3.抵押双方在办理抵押登记手续时，应使用本公司出具的正式《房地产评估报告》，特提醒报告使用者注意。","——")</f>
        <v>——</v>
      </c>
      <c r="B13" s="3061"/>
      <c r="C13" s="3061"/>
      <c r="D13" s="3061"/>
    </row>
    <row r="14" spans="1:4" ht="15.75" customHeight="1">
      <c r="A14" s="3060" t="str">
        <f>IF(项目基本情况!B8="抵押","4.本次评估估价师所知悉的法定优先受偿款情况说明如下：","——")</f>
        <v>——</v>
      </c>
      <c r="B14" s="3061"/>
      <c r="C14" s="3061"/>
      <c r="D14" s="3061"/>
    </row>
    <row r="15" spans="1:4" ht="42" customHeight="1">
      <c r="A15" s="3060" t="str">
        <f>IF(项目基本情况!B8="抵押","（1）"&amp;CONCATENATE(项目基本情况!L20,项目基本情况!L21,项目基本情况!L22),"——")</f>
        <v>——</v>
      </c>
      <c r="B15" s="3060"/>
      <c r="C15" s="3060"/>
      <c r="D15" s="3060"/>
    </row>
    <row r="16" spans="1:4" ht="30" customHeight="1">
      <c r="A16" s="3063" t="s">
        <v>1652</v>
      </c>
      <c r="B16" s="3063"/>
      <c r="C16" s="3063"/>
      <c r="D16" s="3063"/>
    </row>
    <row r="17" spans="1:4" ht="144" customHeight="1">
      <c r="A17" s="3063" t="s">
        <v>1653</v>
      </c>
      <c r="B17" s="3063"/>
      <c r="C17" s="3063"/>
      <c r="D17" s="3063"/>
    </row>
    <row r="18" spans="1:4" ht="15.75" customHeight="1">
      <c r="A18" s="3060" t="str">
        <f>IF(项目基本情况!B8="抵押",结果表!K120,"——")</f>
        <v>——</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1654</v>
      </c>
      <c r="B22" s="3065"/>
      <c r="C22" s="3065"/>
      <c r="D22" s="3065"/>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62">
        <v>42551</v>
      </c>
      <c r="D31" s="30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1" t="s">
        <v>1665</v>
      </c>
      <c r="B15" s="3066" t="s">
        <v>136</v>
      </c>
      <c r="C15" s="3067"/>
    </row>
    <row r="16" spans="1:7" ht="13.5">
      <c r="A16" s="3072"/>
      <c r="B16" s="3066" t="s">
        <v>69</v>
      </c>
      <c r="C16" s="3067"/>
    </row>
    <row r="17" spans="1:3" ht="13.5">
      <c r="A17" s="3072"/>
      <c r="B17" s="3069" t="s">
        <v>1666</v>
      </c>
      <c r="C17" s="1998" t="s">
        <v>1665</v>
      </c>
    </row>
    <row r="18" spans="1:3" ht="13.5">
      <c r="A18" s="3072"/>
      <c r="B18" s="3069"/>
      <c r="C18" s="1998" t="s">
        <v>1667</v>
      </c>
    </row>
    <row r="19" spans="1:3" ht="13.5">
      <c r="A19" s="3072"/>
      <c r="B19" s="3069"/>
      <c r="C19" s="1998" t="s">
        <v>1668</v>
      </c>
    </row>
    <row r="20" spans="1:3" ht="13.5">
      <c r="A20" s="3073"/>
      <c r="B20" s="3068" t="s">
        <v>1669</v>
      </c>
      <c r="C20" s="3067"/>
    </row>
    <row r="21" spans="1:3" ht="13.5">
      <c r="A21" s="1999" t="s">
        <v>1670</v>
      </c>
      <c r="B21" s="2000"/>
      <c r="C21" s="2001"/>
    </row>
    <row r="22" spans="1:3" ht="13.5">
      <c r="A22" s="3070" t="s">
        <v>1671</v>
      </c>
      <c r="B22" s="3068" t="s">
        <v>1672</v>
      </c>
      <c r="C22" s="3067"/>
    </row>
    <row r="23" spans="1:3" ht="13.5">
      <c r="A23" s="3070"/>
      <c r="B23" s="3068" t="s">
        <v>1673</v>
      </c>
      <c r="C23" s="3067"/>
    </row>
    <row r="24" spans="1:3" ht="13.5">
      <c r="A24" s="3070"/>
      <c r="B24" s="3068" t="s">
        <v>1674</v>
      </c>
      <c r="C24" s="3067"/>
    </row>
    <row r="25" spans="1:3" ht="13.5">
      <c r="A25" s="3070"/>
      <c r="B25" s="3069" t="s">
        <v>1675</v>
      </c>
      <c r="C25" s="1998" t="s">
        <v>1676</v>
      </c>
    </row>
    <row r="26" spans="1:3" ht="13.5">
      <c r="A26" s="3070"/>
      <c r="B26" s="3069"/>
      <c r="C26" s="1998" t="s">
        <v>1677</v>
      </c>
    </row>
    <row r="27" spans="1:3" ht="13.5">
      <c r="A27" s="3070"/>
      <c r="B27" s="3069"/>
      <c r="C27" s="1998" t="s">
        <v>1678</v>
      </c>
    </row>
    <row r="28" spans="1:3" ht="13.5">
      <c r="A28" s="3070"/>
      <c r="B28" s="3069"/>
      <c r="C28" s="1998" t="s">
        <v>1679</v>
      </c>
    </row>
    <row r="29" spans="1:3" ht="13.5">
      <c r="A29" s="3070"/>
      <c r="B29" s="3069"/>
      <c r="C29" s="1998" t="s">
        <v>1680</v>
      </c>
    </row>
    <row r="30" spans="1:3" ht="13.5">
      <c r="A30" s="3070"/>
      <c r="B30" s="3069"/>
      <c r="C30" s="1998" t="s">
        <v>1681</v>
      </c>
    </row>
    <row r="31" spans="1:3" ht="13.5">
      <c r="A31" s="3070"/>
      <c r="B31" s="3069"/>
      <c r="C31" s="1998" t="s">
        <v>1682</v>
      </c>
    </row>
    <row r="32" spans="1:3" ht="13.5">
      <c r="A32" s="3070"/>
      <c r="B32" s="3069"/>
      <c r="C32" s="1998" t="s">
        <v>1683</v>
      </c>
    </row>
    <row r="33" spans="1:3" ht="13.5">
      <c r="A33" s="3070"/>
      <c r="B33" s="3069"/>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43573</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4" t="s">
        <v>843</v>
      </c>
      <c r="B25" s="3074"/>
      <c r="C25" s="3074"/>
      <c r="D25" s="3074"/>
      <c r="E25" s="3074"/>
      <c r="F25" s="3074"/>
      <c r="G25" s="3074"/>
    </row>
    <row r="26" spans="1:7" s="1026" customFormat="1" ht="24" customHeight="1">
      <c r="A26" s="3075" t="s">
        <v>844</v>
      </c>
      <c r="B26" s="3075"/>
      <c r="C26" s="3076"/>
      <c r="D26" s="3077" t="s">
        <v>845</v>
      </c>
      <c r="E26" s="3075"/>
      <c r="F26" s="3075"/>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结果表-商业</vt:lpstr>
      <vt:lpstr>结果表-公寓</vt:lpstr>
      <vt:lpstr>比较法-商业</vt:lpstr>
      <vt:lpstr>典型户型修正</vt:lpstr>
      <vt:lpstr>收益法-商业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商业面积</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2019-04-18T03:33:46Z</dcterms:modified>
</cp:coreProperties>
</file>