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0" windowWidth="19200" windowHeight="108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K29" i="9"/>
  <c r="L28" i="9"/>
  <c r="L27" i="9"/>
  <c r="I48" i="34"/>
  <c r="I48" i="83" s="1"/>
  <c r="G48" i="34"/>
  <c r="G48" i="83" s="1"/>
  <c r="E48" i="34"/>
  <c r="E48" i="83" s="1"/>
  <c r="B16" i="74" l="1"/>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I5" i="83"/>
  <c r="G5" i="83"/>
  <c r="E5" i="83"/>
  <c r="D3"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F21" i="6"/>
  <c r="M15" i="3"/>
  <c r="K14" i="3"/>
  <c r="D35" i="84"/>
  <c r="F9" i="82"/>
  <c r="D34" i="84"/>
  <c r="D2" i="83"/>
  <c r="C76" i="82"/>
  <c r="F8" i="82"/>
  <c r="H47" i="83" l="1"/>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1" i="82"/>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F40" i="82"/>
  <c r="M8" i="82"/>
  <c r="M26" i="82"/>
  <c r="F13" i="82"/>
  <c r="J15" i="82"/>
  <c r="M24" i="82"/>
  <c r="M27" i="82"/>
  <c r="F6" i="82"/>
  <c r="F36" i="82"/>
  <c r="M22" i="82"/>
  <c r="F26" i="82"/>
  <c r="F16" i="82"/>
  <c r="L47" i="82"/>
  <c r="F37" i="82"/>
  <c r="M28" i="82"/>
  <c r="M9" i="82"/>
  <c r="F38" i="82"/>
  <c r="M23" i="82"/>
  <c r="M6" i="82"/>
  <c r="F42" i="82"/>
  <c r="S47" i="83" l="1"/>
  <c r="L66" i="84"/>
  <c r="M66" i="84" s="1"/>
  <c r="L65" i="84"/>
  <c r="M65" i="84" s="1"/>
  <c r="L64" i="84"/>
  <c r="M64" i="84" s="1"/>
  <c r="L68" i="84"/>
  <c r="M68" i="84" s="1"/>
  <c r="L67" i="84"/>
  <c r="M67" i="84" s="1"/>
  <c r="L63" i="84"/>
  <c r="M63" i="84" s="1"/>
  <c r="M69" i="84" s="1"/>
  <c r="N69" i="84" s="1"/>
  <c r="F65" i="82"/>
  <c r="C27" i="82"/>
  <c r="F68" i="82"/>
  <c r="F66" i="82"/>
  <c r="F64" i="82"/>
  <c r="M22" i="1"/>
  <c r="N24" i="1" l="1"/>
  <c r="N23" i="1"/>
  <c r="N25" i="1" s="1"/>
  <c r="L23" i="1"/>
  <c r="L24" i="1"/>
  <c r="L22" i="1"/>
  <c r="M24" i="1" l="1"/>
  <c r="L25" i="1"/>
  <c r="M23" i="1" s="1"/>
  <c r="I13" i="3" l="1"/>
  <c r="D4" i="77" l="1"/>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5" i="80"/>
  <c r="D34"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F48"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H49"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C31" i="12" s="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T13" i="1"/>
  <c r="C77" i="9"/>
  <c r="C74" i="9" s="1"/>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F11" i="12"/>
  <c r="F34" i="68"/>
  <c r="AG6" i="1"/>
  <c r="H109" i="9"/>
  <c r="H112" i="9"/>
  <c r="D21" i="53" s="1"/>
  <c r="B39" i="72" s="1"/>
  <c r="H111" i="9"/>
  <c r="D126" i="9" s="1"/>
  <c r="I14" i="74" s="1"/>
  <c r="B8" i="74" s="1"/>
  <c r="D59" i="9"/>
  <c r="M55" i="9" s="1"/>
  <c r="AD3" i="71"/>
  <c r="P22" i="43"/>
  <c r="M27" i="67"/>
  <c r="M8" i="15"/>
  <c r="E13" i="76"/>
  <c r="L48" i="67"/>
  <c r="F41" i="67"/>
  <c r="F43" i="15"/>
  <c r="D9" i="68"/>
  <c r="AO11" i="1"/>
  <c r="J15" i="15"/>
  <c r="C76" i="67"/>
  <c r="E10" i="76"/>
  <c r="F16" i="67"/>
  <c r="E11" i="76"/>
  <c r="M24" i="15"/>
  <c r="F26" i="67"/>
  <c r="C76" i="15"/>
  <c r="D2" i="36"/>
  <c r="M29" i="15"/>
  <c r="M9" i="67"/>
  <c r="M29" i="82"/>
  <c r="F7" i="82"/>
  <c r="F7" i="67"/>
  <c r="E7" i="76"/>
  <c r="F38" i="15"/>
  <c r="F8" i="15"/>
  <c r="F6" i="15"/>
  <c r="D2" i="35"/>
  <c r="D2" i="21"/>
  <c r="M28" i="15"/>
  <c r="AO13" i="1"/>
  <c r="D35" i="9"/>
  <c r="L48" i="15"/>
  <c r="F26" i="15"/>
  <c r="F7" i="73"/>
  <c r="E2" i="68"/>
  <c r="E2" i="69"/>
  <c r="AO12" i="1"/>
  <c r="M23" i="15"/>
  <c r="F37" i="15"/>
  <c r="E9" i="76"/>
  <c r="B7" i="76"/>
  <c r="F3" i="73"/>
  <c r="E8" i="76"/>
  <c r="F7" i="15"/>
  <c r="F16" i="15"/>
  <c r="L47" i="15"/>
  <c r="F36" i="67"/>
  <c r="F42" i="15"/>
  <c r="M23" i="67"/>
  <c r="F37" i="67"/>
  <c r="M28" i="67"/>
  <c r="E12" i="76"/>
  <c r="M6" i="67"/>
  <c r="F5" i="73"/>
  <c r="F20" i="31"/>
  <c r="F13" i="15"/>
  <c r="B9" i="76"/>
  <c r="B8" i="76"/>
  <c r="F13" i="67"/>
  <c r="J15" i="67"/>
  <c r="C36" i="68"/>
  <c r="M22" i="67"/>
  <c r="D34" i="9"/>
  <c r="M29" i="67"/>
  <c r="D2" i="34"/>
  <c r="F4" i="73"/>
  <c r="M6" i="15"/>
  <c r="F40" i="67"/>
  <c r="F43" i="82"/>
  <c r="B13" i="76"/>
  <c r="M26" i="15"/>
  <c r="M27" i="15"/>
  <c r="F9" i="67"/>
  <c r="F9" i="15"/>
  <c r="AO10" i="1"/>
  <c r="M8" i="67"/>
  <c r="F40" i="15"/>
  <c r="B12" i="76"/>
  <c r="AO9" i="1"/>
  <c r="M24" i="67"/>
  <c r="F42" i="67"/>
  <c r="D2" i="37"/>
  <c r="F43" i="67"/>
  <c r="M22" i="15"/>
  <c r="B11" i="76"/>
  <c r="M21" i="67"/>
  <c r="M26" i="67"/>
  <c r="F6" i="67"/>
  <c r="D2" i="33"/>
  <c r="L47" i="67"/>
  <c r="F38" i="67"/>
  <c r="F27" i="68"/>
  <c r="F6" i="73"/>
  <c r="F36" i="15"/>
  <c r="F8" i="67"/>
  <c r="B10" i="76"/>
  <c r="F35" i="67"/>
  <c r="M9" i="15"/>
  <c r="F50" i="82" l="1"/>
  <c r="C49" i="82" s="1"/>
  <c r="M7" i="82"/>
  <c r="J6" i="82" s="1"/>
  <c r="C6" i="82"/>
  <c r="F71" i="82"/>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D7" i="73"/>
  <c r="M6" i="78"/>
  <c r="M27" i="78"/>
  <c r="F26" i="78"/>
  <c r="F13" i="78"/>
  <c r="L48" i="82"/>
  <c r="D4" i="73"/>
  <c r="D6" i="73"/>
  <c r="F8" i="78"/>
  <c r="F7" i="78"/>
  <c r="C17" i="67"/>
  <c r="F16" i="78"/>
  <c r="L48" i="78"/>
  <c r="L47" i="78"/>
  <c r="M24" i="78"/>
  <c r="C14" i="67"/>
  <c r="M26" i="78"/>
  <c r="C16" i="15"/>
  <c r="C16" i="82"/>
  <c r="D5" i="73"/>
  <c r="D3" i="73"/>
  <c r="C16" i="67"/>
  <c r="F36" i="78"/>
  <c r="F9" i="78"/>
  <c r="F38" i="78"/>
  <c r="F40" i="78"/>
  <c r="G1" i="73"/>
  <c r="O8" i="1" l="1"/>
  <c r="P8" i="1" s="1"/>
  <c r="E20" i="43"/>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I20" i="43"/>
  <c r="F11" i="82"/>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F6" i="78"/>
  <c r="M22" i="78"/>
  <c r="J15" i="78"/>
  <c r="M29" i="78"/>
  <c r="F42" i="78"/>
  <c r="M28" i="78"/>
  <c r="M23" i="78"/>
  <c r="M9" i="78"/>
  <c r="AE7" i="1"/>
  <c r="F37" i="78"/>
  <c r="C76" i="78"/>
  <c r="M8" i="78"/>
  <c r="F43" i="78"/>
  <c r="C16" i="78"/>
  <c r="F1" i="82" l="1"/>
  <c r="Q52" i="82"/>
  <c r="AA7" i="83"/>
  <c r="R49" i="83" s="1"/>
  <c r="S7" i="83"/>
  <c r="W7" i="83"/>
  <c r="AC7" i="83"/>
  <c r="V49" i="83" s="1"/>
  <c r="I49" i="83" s="1"/>
  <c r="Q73" i="82"/>
  <c r="Q60" i="82"/>
  <c r="Q74" i="82"/>
  <c r="Q61" i="82"/>
  <c r="U7" i="83"/>
  <c r="AB7" i="83"/>
  <c r="T49" i="83" s="1"/>
  <c r="G49" i="83" s="1"/>
  <c r="Q57" i="82"/>
  <c r="Q66" i="82"/>
  <c r="C29" i="1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C16" i="74" s="1"/>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8" i="1"/>
  <c r="F41" i="15"/>
  <c r="AE6" i="1"/>
  <c r="F41" i="82"/>
  <c r="K26" i="6" l="1"/>
  <c r="M26" i="6" s="1"/>
  <c r="I26" i="6" s="1"/>
  <c r="S26" i="6" s="1"/>
  <c r="G54" i="83"/>
  <c r="H54" i="83" s="1"/>
  <c r="G53" i="83"/>
  <c r="H53" i="83" s="1"/>
  <c r="I53" i="83"/>
  <c r="J53" i="83" s="1"/>
  <c r="E49" i="83"/>
  <c r="I54" i="83" s="1"/>
  <c r="J54" i="83" s="1"/>
  <c r="R50" i="83"/>
  <c r="F69" i="82"/>
  <c r="J29" i="82"/>
  <c r="C66" i="82"/>
  <c r="C60" i="82"/>
  <c r="C38" i="82"/>
  <c r="C33" i="82"/>
  <c r="C32" i="82"/>
  <c r="C24"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7" i="15"/>
  <c r="C17" i="78"/>
  <c r="F41" i="78"/>
  <c r="C14" i="78"/>
  <c r="C50" i="83" l="1"/>
  <c r="C49" i="83"/>
  <c r="E53" i="83"/>
  <c r="F53" i="83" s="1"/>
  <c r="E54" i="83"/>
  <c r="F54" i="83" s="1"/>
  <c r="M21" i="6"/>
  <c r="I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17" i="82"/>
  <c r="F35" i="15"/>
  <c r="M21" i="15"/>
  <c r="C14" i="15"/>
  <c r="C19" i="9"/>
  <c r="C34" i="68"/>
  <c r="D10" i="68"/>
  <c r="E2" i="70" l="1"/>
  <c r="S21" i="6"/>
  <c r="L18" i="84"/>
  <c r="L19" i="84"/>
  <c r="M19" i="84"/>
  <c r="C118" i="84" s="1"/>
  <c r="E8" i="70"/>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C19" i="84"/>
  <c r="F35" i="82"/>
  <c r="M21" i="82"/>
  <c r="C14" i="82"/>
  <c r="C20" i="84"/>
  <c r="C20" i="9"/>
  <c r="C15" i="82" l="1"/>
  <c r="C18" i="82"/>
  <c r="C19" i="82"/>
  <c r="D7" i="74"/>
  <c r="C103" i="84"/>
  <c r="C102" i="84"/>
  <c r="C21" i="84"/>
  <c r="C34" i="82"/>
  <c r="C31" i="82" s="1"/>
  <c r="F63" i="82"/>
  <c r="C62" i="82" s="1"/>
  <c r="J20" i="82"/>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E6" i="76"/>
  <c r="M21" i="78"/>
  <c r="L51" i="67"/>
  <c r="F35" i="78"/>
  <c r="B6" i="76"/>
  <c r="C20" i="82" l="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C23" i="82" l="1"/>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57" i="82" l="1"/>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C61" i="82" l="1"/>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82"/>
  <c r="D19" i="9"/>
  <c r="L51" i="15"/>
  <c r="B3" i="68"/>
  <c r="D19" i="80"/>
  <c r="AO7" i="1"/>
  <c r="AO6" i="1"/>
  <c r="J16" i="82" l="1"/>
  <c r="J25" i="82" s="1"/>
  <c r="Q67" i="82"/>
  <c r="Q69" i="82"/>
  <c r="Q68" i="82" s="1"/>
  <c r="C40" i="82"/>
  <c r="C58" i="82"/>
  <c r="C67" i="82" s="1"/>
  <c r="C68" i="82" s="1"/>
  <c r="C80" i="82"/>
  <c r="C79" i="82"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9"/>
  <c r="D20" i="80"/>
  <c r="Q47" i="82" l="1"/>
  <c r="Q53" i="82" s="1"/>
  <c r="C83" i="82"/>
  <c r="C82" i="82" s="1"/>
  <c r="Q56" i="82"/>
  <c r="Q62" i="82" s="1"/>
  <c r="C43" i="82"/>
  <c r="Q65" i="82"/>
  <c r="Q75" i="82" s="1"/>
  <c r="B2" i="82"/>
  <c r="C71" i="82"/>
  <c r="C46" i="82"/>
  <c r="D103" i="80"/>
  <c r="D103" i="9"/>
  <c r="G20" i="9"/>
  <c r="C13" i="77" s="1"/>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D19" i="84"/>
  <c r="AO8" i="1"/>
  <c r="B8" i="70" l="1"/>
  <c r="B2" i="70" s="1"/>
  <c r="B3" i="70" s="1"/>
  <c r="D21" i="84"/>
  <c r="D22" i="84"/>
  <c r="D102" i="84"/>
  <c r="G19" i="84"/>
  <c r="B3" i="82"/>
  <c r="C14" i="77"/>
  <c r="C15" i="77"/>
  <c r="K23" i="9"/>
  <c r="K24" i="9" s="1"/>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D16" i="74"/>
  <c r="C32" i="84"/>
  <c r="G21"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19" i="80"/>
  <c r="C20" i="80"/>
  <c r="C35" i="84" l="1"/>
  <c r="H118" i="84"/>
  <c r="G16" i="74"/>
  <c r="E16" i="74"/>
  <c r="F16" i="7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F118" i="84" l="1"/>
  <c r="C34" i="84"/>
  <c r="D118" i="84" s="1"/>
  <c r="D119" i="84" s="1"/>
  <c r="I118" i="84"/>
  <c r="H119" i="84"/>
  <c r="C104" i="84"/>
  <c r="H101"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7" i="84" l="1"/>
  <c r="M48" i="84"/>
  <c r="D45" i="84"/>
  <c r="C105" i="84"/>
  <c r="H102" i="84"/>
  <c r="F119" i="84"/>
  <c r="G118" i="84"/>
  <c r="E118" i="84" s="1"/>
  <c r="D5" i="74"/>
  <c r="C35" i="80"/>
  <c r="F118" i="80" s="1"/>
  <c r="H118" i="80"/>
  <c r="C79" i="9"/>
  <c r="D123" i="9"/>
  <c r="D9" i="52" s="1"/>
  <c r="D8" i="52"/>
  <c r="G14" i="74"/>
  <c r="B6" i="74" s="1"/>
  <c r="C95" i="9"/>
  <c r="C96" i="9" s="1"/>
  <c r="E96" i="9" s="1"/>
  <c r="E97" i="9" s="1"/>
  <c r="D14" i="53"/>
  <c r="B32" i="72" s="1"/>
  <c r="B30" i="72"/>
  <c r="C78" i="84" l="1"/>
  <c r="C73" i="84" s="1"/>
  <c r="C93" i="84"/>
  <c r="C86" i="84" s="1"/>
  <c r="C72" i="84"/>
  <c r="C79" i="84" s="1"/>
  <c r="C80" i="84" s="1"/>
  <c r="E80" i="84" s="1"/>
  <c r="E81" i="84" s="1"/>
  <c r="D55" i="84"/>
  <c r="M53" i="84" s="1"/>
  <c r="D52" i="84"/>
  <c r="C85" i="84"/>
  <c r="C95" i="84" s="1"/>
  <c r="C64" i="84"/>
  <c r="C63" i="84" s="1"/>
  <c r="C67" i="84" s="1"/>
  <c r="C68" i="84" s="1"/>
  <c r="D54" i="84" s="1"/>
  <c r="D53" i="84"/>
  <c r="D122" i="84"/>
  <c r="D123" i="84" s="1"/>
  <c r="H108" i="84"/>
  <c r="C81" i="84"/>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<sst xmlns="http://schemas.openxmlformats.org/spreadsheetml/2006/main" count="9459" uniqueCount="3321">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</sst>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74484</v>
      </c>
    </row>
    <row r="21" spans="1:2" s="1594" customFormat="1">
      <c r="A21" s="1592" t="s">
        <v>1231</v>
      </c>
      <c r="B21" s="1593">
        <f ca="1">'预评函-2'!D7</f>
        <v>23417</v>
      </c>
    </row>
    <row r="22" spans="1:2" s="1594" customFormat="1">
      <c r="A22" s="1592" t="s">
        <v>1232</v>
      </c>
      <c r="B22" s="1593" t="str">
        <f ca="1">'预评函-2'!D6</f>
        <v>柒亿肆仟肆佰捌拾肆万元整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74484</v>
      </c>
    </row>
    <row r="31" spans="1:2" s="1594" customFormat="1">
      <c r="A31" s="1592" t="s">
        <v>1270</v>
      </c>
      <c r="B31" s="1593">
        <f ca="1">'预评函-2'!D15</f>
        <v>11174</v>
      </c>
    </row>
    <row r="32" spans="1:2" s="1594" customFormat="1">
      <c r="A32" s="1592" t="s">
        <v>1237</v>
      </c>
      <c r="B32" s="1593" t="str">
        <f ca="1">'预评函-2'!D14</f>
        <v>柒亿肆仟肆佰捌拾肆万元整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0" t="s">
        <v>861</v>
      </c>
      <c r="C54" s="2017" t="s">
        <v>1277</v>
      </c>
    </row>
    <row r="55" spans="1:4">
      <c r="A55" s="3079"/>
      <c r="B55" s="2020" t="s">
        <v>862</v>
      </c>
      <c r="C55" s="2017" t="s">
        <v>1278</v>
      </c>
    </row>
    <row r="56" spans="1:4">
      <c r="A56" s="3079"/>
      <c r="B56" s="2020" t="s">
        <v>863</v>
      </c>
      <c r="C56" s="2017" t="s">
        <v>1282</v>
      </c>
    </row>
    <row r="57" spans="1:4">
      <c r="A57" s="307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88" t="str">
        <f>IF(B10="北京市","北京市",C10)&amp;F10&amp;IF(结果表!G1="在建","出让国有建设用地使用权及在建建筑物",IF(结果表!G1="土地","出让国有建设用地使用权",))&amp;B9&amp;"预评估"</f>
        <v>北京市房地产市场价值预评估</v>
      </c>
      <c r="C1" s="3089"/>
      <c r="D1" s="3089"/>
      <c r="E1" s="3089"/>
      <c r="F1" s="3089"/>
      <c r="G1" s="3089"/>
      <c r="H1" s="3089"/>
      <c r="I1" s="309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91"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92"/>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98"/>
      <c r="C16" s="3099"/>
      <c r="D16" s="3100"/>
      <c r="E16" s="2084" t="s">
        <v>1798</v>
      </c>
      <c r="F16" s="3101"/>
      <c r="G16" s="3102"/>
      <c r="H16" s="3102"/>
      <c r="I16" s="3103"/>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104" t="s">
        <v>1802</v>
      </c>
      <c r="F17" s="3105"/>
      <c r="G17" s="3105"/>
      <c r="H17" s="3105"/>
      <c r="I17" s="3106"/>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107" t="s">
        <v>1805</v>
      </c>
      <c r="F18" s="3108"/>
      <c r="G18" s="3108"/>
      <c r="H18" s="3108"/>
      <c r="I18" s="3109"/>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94" t="s">
        <v>1810</v>
      </c>
      <c r="C20" s="3095"/>
      <c r="D20" s="3096" t="s">
        <v>1811</v>
      </c>
      <c r="E20" s="3097"/>
      <c r="F20" s="2096" t="s">
        <v>1812</v>
      </c>
      <c r="G20" s="2040"/>
      <c r="H20" s="2040"/>
      <c r="I20" s="2040"/>
      <c r="J20" s="2040"/>
      <c r="K20" s="3093"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9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9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1"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1"/>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1"/>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2"/>
      <c r="B30" s="2033" t="s">
        <v>1829</v>
      </c>
      <c r="C30" s="3083"/>
      <c r="D30" s="308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5"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8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8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080" t="s">
        <v>1839</v>
      </c>
      <c r="T34" s="2133" t="str">
        <f>NUMBERSTRING(7-K34,1)&amp;"通"</f>
        <v>七通</v>
      </c>
      <c r="U34" s="2027"/>
      <c r="V34" s="2027"/>
    </row>
    <row r="35" spans="1:22" ht="18" customHeight="1">
      <c r="A35" s="2134"/>
      <c r="B35" s="3087" t="s">
        <v>1840</v>
      </c>
      <c r="C35" s="3087"/>
      <c r="D35" s="3087"/>
      <c r="E35" s="3087"/>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0"/>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1" t="s">
        <v>1936</v>
      </c>
      <c r="B2" s="3121"/>
      <c r="C2" s="3121"/>
      <c r="D2" s="968" t="s">
        <v>1912</v>
      </c>
      <c r="E2" s="2226" t="s">
        <v>1913</v>
      </c>
      <c r="F2" s="1393"/>
      <c r="G2" s="2227"/>
      <c r="H2" s="2228"/>
      <c r="I2" s="2229" t="s">
        <v>1937</v>
      </c>
      <c r="J2" s="1393"/>
      <c r="K2" s="1393"/>
      <c r="L2" s="1393"/>
      <c r="M2" s="1393"/>
      <c r="N2" s="1428"/>
      <c r="O2" s="1393"/>
      <c r="P2" s="1393"/>
    </row>
    <row r="3" spans="1:16" ht="15.75" thickBot="1">
      <c r="A3" s="3122" t="s">
        <v>1910</v>
      </c>
      <c r="B3" s="3122"/>
      <c r="C3" s="3122"/>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3"/>
      <c r="B4" s="3124"/>
      <c r="C4" s="3125"/>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6" t="s">
        <v>1915</v>
      </c>
      <c r="C5" s="3126"/>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6" t="s">
        <v>1916</v>
      </c>
      <c r="C6" s="3126"/>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8"/>
      <c r="B7" s="3119"/>
      <c r="C7" s="3120"/>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5" t="s">
        <v>1940</v>
      </c>
      <c r="L16" s="3116"/>
      <c r="M16" s="3116"/>
      <c r="N16" s="3116"/>
      <c r="O16" s="3116"/>
      <c r="P16" s="3117"/>
    </row>
    <row r="17" spans="1:19" ht="15">
      <c r="A17" s="2241" t="s">
        <v>1941</v>
      </c>
      <c r="B17" s="2242" t="s">
        <v>1942</v>
      </c>
      <c r="C17" s="2243" t="s">
        <v>1943</v>
      </c>
      <c r="D17" s="2244" t="s">
        <v>1931</v>
      </c>
      <c r="E17" s="2245" t="s">
        <v>1932</v>
      </c>
      <c r="F17" s="2246"/>
      <c r="G17" s="2247"/>
      <c r="H17" s="2248" t="s">
        <v>1944</v>
      </c>
      <c r="I17" s="2249" t="s">
        <v>1929</v>
      </c>
      <c r="J17" s="1393"/>
      <c r="K17" s="3112" t="s">
        <v>1945</v>
      </c>
      <c r="L17" s="3113"/>
      <c r="M17" s="3114"/>
      <c r="N17" s="3112" t="s">
        <v>1946</v>
      </c>
      <c r="O17" s="3113"/>
      <c r="P17" s="3114"/>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3069</v>
      </c>
      <c r="AO6" s="55">
        <f ca="1">SUMIF(INDIRECT("'"&amp;AN6&amp;"'"&amp;"!A:A"),"总价",INDIRECT("'"&amp;AN6&amp;"'"&amp;"!B:B"))</f>
        <v>41889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1</v>
      </c>
      <c r="Z7" s="81"/>
      <c r="AA7" s="74"/>
      <c r="AB7" s="74"/>
      <c r="AC7" s="1262"/>
      <c r="AD7" s="82"/>
      <c r="AE7" s="1263">
        <f t="shared" ref="AE7:AE13" ca="1" si="6">IF(AN7="",0,SUMIF(INDIRECT("'"&amp;AN7&amp;"'"&amp;"!E:E"),$AE$5,INDIRECT("'"&amp;AN7&amp;"'"&amp;"!F:F")))</f>
        <v>44.68</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66616</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44.68</v>
      </c>
      <c r="G8" s="73">
        <f t="shared" si="2"/>
        <v>0.96199999999999997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1</v>
      </c>
      <c r="Z8" s="81"/>
      <c r="AA8" s="74"/>
      <c r="AB8" s="74"/>
      <c r="AC8" s="1262"/>
      <c r="AD8" s="82"/>
      <c r="AE8" s="1263">
        <f t="shared" ca="1" si="6"/>
        <v>44.68</v>
      </c>
      <c r="AF8" s="1802"/>
      <c r="AG8" s="147">
        <f t="shared" si="7"/>
        <v>0</v>
      </c>
      <c r="AH8" s="806"/>
      <c r="AI8" s="85">
        <v>365</v>
      </c>
      <c r="AJ8" s="86"/>
      <c r="AK8" s="807">
        <v>1.4999999999999999E-2</v>
      </c>
      <c r="AL8" s="808">
        <v>1.5E-3</v>
      </c>
      <c r="AM8" s="809">
        <v>0.02</v>
      </c>
      <c r="AN8" s="2307" t="s">
        <v>3311</v>
      </c>
      <c r="AO8" s="55">
        <f t="shared" ca="1" si="8"/>
        <v>34018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0.96099999999999997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7" t="s">
        <v>2081</v>
      </c>
      <c r="B1" s="3128"/>
      <c r="C1" s="3128"/>
      <c r="D1" s="3128"/>
      <c r="E1" s="3128"/>
      <c r="F1" s="3128"/>
      <c r="G1" s="312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31" sqref="B3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152174</v>
      </c>
      <c r="C5" s="1741">
        <f ca="1">ROUND(B5*10000/$B$1,0)</f>
        <v>22829</v>
      </c>
      <c r="D5" s="1741">
        <f ca="1">ROUND(B5*10000/$B$2,0)</f>
        <v>70275</v>
      </c>
      <c r="E5" s="1740"/>
      <c r="F5" s="1738"/>
      <c r="G5" s="1738"/>
    </row>
    <row r="6" spans="1:10" ht="16.5">
      <c r="A6" s="1741" t="s">
        <v>1352</v>
      </c>
      <c r="B6" s="1741">
        <f ca="1">SUM(G14:G23)</f>
        <v>152174</v>
      </c>
      <c r="C6" s="1741">
        <f ca="1">ROUND(B6*10000/$B$1,0)</f>
        <v>22829</v>
      </c>
      <c r="D6" s="1741">
        <f ca="1">ROUND(B6*10000/$B$2,0)</f>
        <v>70275</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74484</v>
      </c>
      <c r="E14" s="1739">
        <f ca="1">ROUND(D14*10000/B14,0)</f>
        <v>23417</v>
      </c>
      <c r="F14" s="1739">
        <f ca="1">ROUND(D14*10000/C14,0)</f>
        <v>72083</v>
      </c>
      <c r="G14" s="1739">
        <f ca="1">结果表!D122</f>
        <v>74484</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40701</v>
      </c>
      <c r="E15" s="1739">
        <f t="shared" ref="E15:E23" ca="1" si="0">ROUND(D15*10000/B15,0)</f>
        <v>21831</v>
      </c>
      <c r="F15" s="1739">
        <f t="shared" ref="F15:F23" ca="1" si="1">ROUND(D15*10000/C15,0)</f>
        <v>67203</v>
      </c>
      <c r="G15" s="1745">
        <f ca="1">D15</f>
        <v>40701</v>
      </c>
      <c r="H15" s="1745"/>
      <c r="I15" s="1744"/>
      <c r="J15" s="1738"/>
    </row>
    <row r="16" spans="1:10" ht="16.5">
      <c r="A16" s="1737" t="s">
        <v>1344</v>
      </c>
      <c r="B16" s="1744">
        <f>'数据-基础表'!G15</f>
        <v>16206.23</v>
      </c>
      <c r="C16" s="1744">
        <f>'数据-基础表'!E15</f>
        <v>5264.7</v>
      </c>
      <c r="D16" s="1744">
        <f ca="1">'结果表-公寓'!G19</f>
        <v>36989</v>
      </c>
      <c r="E16" s="1739">
        <f t="shared" ca="1" si="0"/>
        <v>22824</v>
      </c>
      <c r="F16" s="1739">
        <f t="shared" ca="1" si="1"/>
        <v>70259</v>
      </c>
      <c r="G16" s="1745">
        <f ca="1">D16</f>
        <v>36989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08" sqref="D10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3125</v>
      </c>
      <c r="D4" s="2426" t="s">
        <v>3071</v>
      </c>
      <c r="E4" s="3159" t="s">
        <v>2123</v>
      </c>
      <c r="F4" s="3160"/>
      <c r="G4" s="3160"/>
      <c r="H4" s="3160"/>
      <c r="I4" s="316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66616</v>
      </c>
      <c r="E19" s="2433" t="s">
        <v>2148</v>
      </c>
      <c r="F19" s="2434" t="s">
        <v>2147</v>
      </c>
      <c r="G19" s="145">
        <f ca="1">ROUND(C19*$C$18+D19*$D$18,0)</f>
        <v>74484</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20943</v>
      </c>
      <c r="E20" s="2436"/>
      <c r="F20" s="1248" t="s">
        <v>2151</v>
      </c>
      <c r="G20" s="148">
        <f ca="1">ROUND(C20*$C$18+D20*$D$18,0)</f>
        <v>23417</v>
      </c>
      <c r="H20" s="981" t="s">
        <v>2152</v>
      </c>
      <c r="I20" s="138"/>
    </row>
    <row r="21" spans="1:35" ht="15" customHeight="1" thickBot="1">
      <c r="A21" s="1001"/>
      <c r="B21" s="2437" t="s">
        <v>2153</v>
      </c>
      <c r="C21" s="787">
        <f ca="1">ROUND(C19*10000/L19,0)</f>
        <v>79697</v>
      </c>
      <c r="D21" s="788">
        <f ca="1">ROUND(D19*10000/L19,0)</f>
        <v>64469</v>
      </c>
      <c r="E21" s="1001"/>
      <c r="F21" s="2437" t="s">
        <v>2153</v>
      </c>
      <c r="G21" s="149">
        <f ca="1">ROUND(G19*10000/L19,0)</f>
        <v>72083</v>
      </c>
      <c r="H21" s="2438" t="s">
        <v>2152</v>
      </c>
      <c r="I21" s="138"/>
    </row>
    <row r="22" spans="1:35" ht="15" thickBot="1">
      <c r="A22" s="2279" t="s">
        <v>2154</v>
      </c>
      <c r="B22" s="2439"/>
      <c r="C22" s="2440"/>
      <c r="D22" s="789">
        <f ca="1">IF(C19&lt;D19,D19/C19-1,C19/D19-1)</f>
        <v>0.23620451543172805</v>
      </c>
      <c r="E22" s="138"/>
      <c r="F22" s="138"/>
      <c r="G22" s="138"/>
      <c r="H22" s="138"/>
      <c r="I22" s="138"/>
    </row>
    <row r="23" spans="1:35" ht="13.5" thickBot="1">
      <c r="A23" s="2417"/>
      <c r="B23" s="2417"/>
      <c r="C23" s="2417"/>
      <c r="D23" s="2417"/>
      <c r="E23" s="138"/>
      <c r="F23" s="138"/>
      <c r="G23" s="138"/>
      <c r="H23" s="138"/>
      <c r="I23" s="138"/>
      <c r="K23" s="793">
        <f ca="1">ROUND(G20*面积!B1/10000,0)</f>
        <v>37947</v>
      </c>
    </row>
    <row r="24" spans="1:35" ht="14.25">
      <c r="A24" s="3136" t="s">
        <v>2155</v>
      </c>
      <c r="B24" s="2434" t="s">
        <v>2147</v>
      </c>
      <c r="C24" s="145">
        <f>IF(B30=0,0,D30)</f>
        <v>0</v>
      </c>
      <c r="D24" s="2441"/>
      <c r="E24" s="138"/>
      <c r="F24" s="138"/>
      <c r="G24" s="138"/>
      <c r="H24" s="138"/>
      <c r="I24" s="138"/>
      <c r="K24" s="793">
        <f ca="1">G19-K23</f>
        <v>36537</v>
      </c>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74484</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74484</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1807">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1807">
        <v>2</v>
      </c>
      <c r="K47" s="3193" t="s">
        <v>2194</v>
      </c>
      <c r="L47" s="3193"/>
      <c r="M47" s="3214">
        <f>'数据-取费表'!B2</f>
        <v>43570</v>
      </c>
      <c r="N47" s="3214"/>
      <c r="O47" s="3214"/>
    </row>
    <row r="48" spans="1:15" ht="25.5">
      <c r="A48" s="3161" t="s">
        <v>2195</v>
      </c>
      <c r="B48" s="3144"/>
      <c r="C48" s="3144"/>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93" t="s">
        <v>2198</v>
      </c>
      <c r="L48" s="3193"/>
      <c r="M48" s="3215">
        <f ca="1">H101</f>
        <v>74484</v>
      </c>
      <c r="N48" s="3215"/>
      <c r="O48" s="3215"/>
    </row>
    <row r="49" spans="1:35" ht="25.5" customHeight="1">
      <c r="A49" s="176" t="s">
        <v>2199</v>
      </c>
      <c r="B49" s="3129" t="s">
        <v>2200</v>
      </c>
      <c r="C49" s="3129"/>
      <c r="D49" s="177">
        <v>0</v>
      </c>
      <c r="E49" s="23" t="s">
        <v>2201</v>
      </c>
      <c r="F49" s="28" t="s">
        <v>34</v>
      </c>
      <c r="G49" s="3199"/>
      <c r="H49" s="138"/>
      <c r="I49" s="2482"/>
      <c r="J49" s="1807">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2483" t="s">
        <v>2205</v>
      </c>
      <c r="K51" s="3193" t="s">
        <v>2206</v>
      </c>
      <c r="L51" s="3193"/>
      <c r="M51" s="2483" t="s">
        <v>2207</v>
      </c>
      <c r="N51" s="2483" t="s">
        <v>2208</v>
      </c>
      <c r="O51" s="2483" t="s">
        <v>2209</v>
      </c>
    </row>
    <row r="52" spans="1:35" ht="24" customHeight="1">
      <c r="A52" s="183" t="s">
        <v>2210</v>
      </c>
      <c r="B52" s="3129" t="s">
        <v>2211</v>
      </c>
      <c r="C52" s="3129"/>
      <c r="D52" s="182">
        <f ca="1">ROUND(D45*'数据-取费表'!B41/(1+'数据-取费表'!C42),0)</f>
        <v>3902</v>
      </c>
      <c r="E52" s="11" t="s">
        <v>2212</v>
      </c>
      <c r="F52" s="184">
        <f>'数据-取费表'!B41</f>
        <v>5.5000000000000007E-2</v>
      </c>
      <c r="G52" s="2484"/>
      <c r="H52" s="138"/>
      <c r="I52" s="2482"/>
      <c r="J52" s="1807">
        <v>1</v>
      </c>
      <c r="K52" s="3194" t="s">
        <v>2213</v>
      </c>
      <c r="L52" s="3194"/>
      <c r="M52" s="1749">
        <f>D48</f>
        <v>0</v>
      </c>
      <c r="N52" s="1807" t="str">
        <f>E48</f>
        <v>销售额×税（费）率</v>
      </c>
      <c r="O52" s="1750" t="str">
        <f>F48</f>
        <v>免征</v>
      </c>
    </row>
    <row r="53" spans="1:35" ht="12" customHeight="1">
      <c r="A53" s="183" t="s">
        <v>2214</v>
      </c>
      <c r="B53" s="3152" t="s">
        <v>2215</v>
      </c>
      <c r="C53" s="3153"/>
      <c r="D53" s="182">
        <f ca="1">ROUND(D45*'数据-取费表'!B41/(1+'数据-取费表'!C42),0)</f>
        <v>3902</v>
      </c>
      <c r="E53" s="11" t="s">
        <v>2212</v>
      </c>
      <c r="F53" s="184">
        <f>'数据-取费表'!B41</f>
        <v>5.5000000000000007E-2</v>
      </c>
      <c r="G53" s="2484"/>
      <c r="H53" s="138"/>
      <c r="I53" s="2482"/>
      <c r="J53" s="1807">
        <v>2</v>
      </c>
      <c r="K53" s="3194" t="s">
        <v>2216</v>
      </c>
      <c r="L53" s="3194"/>
      <c r="M53" s="1749">
        <f t="shared" ref="M53:O54" ca="1" si="0">D55</f>
        <v>37</v>
      </c>
      <c r="N53" s="1807" t="str">
        <f t="shared" si="0"/>
        <v>销售额×税（费）率</v>
      </c>
      <c r="O53" s="1750">
        <f t="shared" si="0"/>
        <v>5.0000000000000001E-4</v>
      </c>
    </row>
    <row r="54" spans="1:35" ht="12" customHeight="1">
      <c r="A54" s="183" t="s">
        <v>2217</v>
      </c>
      <c r="B54" s="3152" t="s">
        <v>2218</v>
      </c>
      <c r="C54" s="3153"/>
      <c r="D54" s="182">
        <f ca="1">C68</f>
        <v>3902</v>
      </c>
      <c r="E54" s="30" t="s">
        <v>2219</v>
      </c>
      <c r="F54" s="184">
        <f>'数据-取费表'!B41</f>
        <v>5.5000000000000007E-2</v>
      </c>
      <c r="G54" s="2484"/>
      <c r="H54" s="2485"/>
      <c r="I54" s="2482"/>
      <c r="J54" s="1807">
        <v>3</v>
      </c>
      <c r="K54" s="3194" t="s">
        <v>2220</v>
      </c>
      <c r="L54" s="3194"/>
      <c r="M54" s="1749">
        <f t="shared" ca="1" si="0"/>
        <v>42225</v>
      </c>
      <c r="N54" s="1807" t="str">
        <f t="shared" si="0"/>
        <v>增值额×税（费）率</v>
      </c>
      <c r="O54" s="1751" t="str">
        <f t="shared" si="0"/>
        <v>——</v>
      </c>
    </row>
    <row r="55" spans="1:35" ht="24" customHeight="1">
      <c r="A55" s="3143" t="s">
        <v>2221</v>
      </c>
      <c r="B55" s="3144"/>
      <c r="C55" s="3144"/>
      <c r="D55" s="185">
        <f ca="1">IF(H55="个人住宅",0,ROUND(D45*I55,0))</f>
        <v>37</v>
      </c>
      <c r="E55" s="11" t="s">
        <v>2222</v>
      </c>
      <c r="F55" s="184">
        <f>IF(H55="正常",I55,"免征")</f>
        <v>5.0000000000000001E-4</v>
      </c>
      <c r="G55" s="2484"/>
      <c r="H55" s="2481" t="s">
        <v>2223</v>
      </c>
      <c r="I55" s="186">
        <f>'数据-取费表'!B49</f>
        <v>5.0000000000000001E-4</v>
      </c>
      <c r="J55" s="1807" t="str">
        <f>IF(H59="非个人房产","",4)</f>
        <v/>
      </c>
      <c r="K55" s="3194" t="str">
        <f>IF(H59="非个人房产","——","个人所得税")</f>
        <v>——</v>
      </c>
      <c r="L55" s="3194"/>
      <c r="M55" s="1752" t="str">
        <f>D59</f>
        <v>——</v>
      </c>
      <c r="N55" s="1805" t="str">
        <f>E59</f>
        <v>——</v>
      </c>
      <c r="O55" s="1753" t="str">
        <f>F59</f>
        <v>——</v>
      </c>
    </row>
    <row r="56" spans="1:35" ht="24.75">
      <c r="A56" s="3143" t="s">
        <v>2224</v>
      </c>
      <c r="B56" s="3144"/>
      <c r="C56" s="3144"/>
      <c r="D56" s="185">
        <f ca="1">IF(H56="个人住宅",D57,D58)</f>
        <v>42225</v>
      </c>
      <c r="E56" s="11" t="s">
        <v>2225</v>
      </c>
      <c r="F56" s="184" t="str">
        <f>IF(H56="正常",F58,"免征")</f>
        <v>——</v>
      </c>
      <c r="G56" s="2486" t="s">
        <v>2226</v>
      </c>
      <c r="H56" s="2487" t="s">
        <v>2223</v>
      </c>
      <c r="I56" s="2488"/>
      <c r="J56" s="1807"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IF(AND(J55="",J56=""),4,IF(项目基本情况!K6="上海银行",结果表!J56+1,结果表!J55+1))</f>
        <v>4</v>
      </c>
      <c r="K57" s="3194" t="s">
        <v>2228</v>
      </c>
      <c r="L57" s="2489" t="s">
        <v>2229</v>
      </c>
      <c r="M57" s="1754"/>
      <c r="N57" s="1755">
        <f ca="1">SUMIF(M52:M56,"&lt;9e307")</f>
        <v>42262</v>
      </c>
      <c r="O57" s="2490"/>
      <c r="P57" s="1748" t="e">
        <f ca="1">N57/M49</f>
        <v>#VALUE!</v>
      </c>
    </row>
    <row r="58" spans="1:35" ht="24.75">
      <c r="A58" s="183" t="s">
        <v>2210</v>
      </c>
      <c r="B58" s="3159" t="s">
        <v>2230</v>
      </c>
      <c r="C58" s="3160"/>
      <c r="D58" s="185">
        <f ca="1">IF(H58="转让取得",C81,C97)</f>
        <v>42225</v>
      </c>
      <c r="E58" s="11" t="s">
        <v>2225</v>
      </c>
      <c r="F58" s="24" t="s">
        <v>34</v>
      </c>
      <c r="G58" s="2484"/>
      <c r="H58" s="2487" t="s">
        <v>2231</v>
      </c>
      <c r="I58" s="2488"/>
      <c r="J58" s="3194"/>
      <c r="K58" s="3194"/>
      <c r="L58" s="2489" t="s">
        <v>2232</v>
      </c>
      <c r="M58" s="1756"/>
      <c r="N58" s="2491" t="str">
        <f ca="1">NUMBERSTRING(INT(N57*10000),2)&amp;"元整"</f>
        <v>肆亿贰仟贰佰陆拾贰万元整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1807"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1807">
        <f>J59+1</f>
        <v>6</v>
      </c>
      <c r="K61" s="3194" t="s">
        <v>2237</v>
      </c>
      <c r="L61" s="3194"/>
      <c r="M61" s="1759"/>
      <c r="N61" s="1760" t="e">
        <f ca="1">ROUND(N59*10000/'数据-汇总表'!E3,0)</f>
        <v>#VALUE!</v>
      </c>
      <c r="O61" s="2497"/>
    </row>
    <row r="62" spans="1:35" ht="12.75">
      <c r="A62" s="3157" t="s">
        <v>2238</v>
      </c>
      <c r="B62" s="3158"/>
      <c r="C62" s="1799"/>
      <c r="D62" s="1799" t="s">
        <v>2239</v>
      </c>
      <c r="E62" s="192" t="s">
        <v>2240</v>
      </c>
      <c r="F62" s="2488"/>
      <c r="G62" s="2488"/>
      <c r="H62" s="2496"/>
      <c r="I62" s="138"/>
    </row>
    <row r="63" spans="1:35" ht="12.75">
      <c r="A63" s="203" t="s">
        <v>775</v>
      </c>
      <c r="B63" s="193" t="s">
        <v>2241</v>
      </c>
      <c r="C63" s="194">
        <f ca="1">ROUND((C64+C65)/(1+'数据-取费表'!C42),0)</f>
        <v>70937</v>
      </c>
      <c r="D63" s="195"/>
      <c r="E63" s="196"/>
      <c r="F63" s="2488"/>
      <c r="G63" s="2488"/>
      <c r="H63" s="2496"/>
      <c r="I63" s="138"/>
      <c r="J63" s="3219"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74484</v>
      </c>
      <c r="D64" s="200" t="s">
        <v>32</v>
      </c>
      <c r="E64" s="201"/>
      <c r="F64" s="2488"/>
      <c r="G64" s="2488"/>
      <c r="H64" s="2496"/>
      <c r="I64" s="138"/>
      <c r="J64" s="3219"/>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2498" t="s">
        <v>2250</v>
      </c>
      <c r="L66" s="1747" t="e">
        <f>M49*0.5%</f>
        <v>#VALUE!</v>
      </c>
      <c r="M66" s="24" t="e">
        <f>IF(L66&gt;0.5,0.5,ROUND(L66,0))</f>
        <v>#VALUE!</v>
      </c>
      <c r="N66" s="138" t="s">
        <v>2251</v>
      </c>
      <c r="Z66" s="2422"/>
      <c r="AI66" s="2423"/>
    </row>
    <row r="67" spans="1:35" ht="14.25" customHeight="1">
      <c r="A67" s="203" t="s">
        <v>773</v>
      </c>
      <c r="B67" s="204" t="s">
        <v>2252</v>
      </c>
      <c r="C67" s="207">
        <f ca="1">C63-C66</f>
        <v>70937</v>
      </c>
      <c r="D67" s="200" t="s">
        <v>32</v>
      </c>
      <c r="E67" s="201"/>
      <c r="F67" s="2488"/>
      <c r="G67" s="2488"/>
      <c r="H67" s="2496"/>
      <c r="I67" s="138"/>
      <c r="J67" s="3219"/>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3902</v>
      </c>
      <c r="D68" s="211">
        <f>'数据-取费表'!B41</f>
        <v>5.5000000000000007E-2</v>
      </c>
      <c r="E68" s="212"/>
      <c r="F68" s="2488"/>
      <c r="G68" s="2488"/>
      <c r="H68" s="2496"/>
      <c r="I68" s="138"/>
      <c r="J68" s="3219"/>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70937</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355</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355</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70582</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198.82253521126759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42225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70937</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355</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355</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70582</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198.82253521126759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42225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比较法-办公</v>
      </c>
      <c r="D101" s="735" t="str">
        <f>D4</f>
        <v>收益法</v>
      </c>
      <c r="E101" s="3216" t="s">
        <v>2297</v>
      </c>
      <c r="F101" s="3170"/>
      <c r="G101" s="2519" t="s">
        <v>2298</v>
      </c>
      <c r="H101" s="1046">
        <f ca="1">H118</f>
        <v>74484</v>
      </c>
      <c r="I101" s="138"/>
    </row>
    <row r="102" spans="1:35" ht="18.75" customHeight="1">
      <c r="A102" s="3172" t="s">
        <v>2299</v>
      </c>
      <c r="B102" s="2519" t="s">
        <v>2298</v>
      </c>
      <c r="C102" s="734">
        <f ca="1">C19</f>
        <v>82351</v>
      </c>
      <c r="D102" s="735">
        <f ca="1">D19</f>
        <v>66616</v>
      </c>
      <c r="E102" s="3216"/>
      <c r="F102" s="3170"/>
      <c r="G102" s="2519" t="s">
        <v>2300</v>
      </c>
      <c r="H102" s="371">
        <f ca="1">I118</f>
        <v>23417</v>
      </c>
      <c r="I102" s="138"/>
    </row>
    <row r="103" spans="1:35" ht="42.75" customHeight="1">
      <c r="A103" s="3172"/>
      <c r="B103" s="2519" t="s">
        <v>2300</v>
      </c>
      <c r="C103" s="736">
        <f ca="1">C20</f>
        <v>25890</v>
      </c>
      <c r="D103" s="737">
        <f ca="1">D20</f>
        <v>20943</v>
      </c>
      <c r="E103" s="3211" t="s">
        <v>2301</v>
      </c>
      <c r="F103" s="3212"/>
      <c r="G103" s="2520" t="s">
        <v>2302</v>
      </c>
      <c r="H103" s="1046">
        <f>IF(D36="正常操作",H104+H105+H106,H105+H106)</f>
        <v>0</v>
      </c>
      <c r="I103" s="138"/>
    </row>
    <row r="104" spans="1:35" ht="18.75" customHeight="1">
      <c r="A104" s="3172" t="s">
        <v>2303</v>
      </c>
      <c r="B104" s="2521" t="s">
        <v>2298</v>
      </c>
      <c r="C104" s="738">
        <f ca="1">H118</f>
        <v>74484</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23417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74484</v>
      </c>
      <c r="I107" s="138"/>
    </row>
    <row r="108" spans="1:35" ht="18.75" customHeight="1">
      <c r="A108" s="138"/>
      <c r="B108" s="138"/>
      <c r="C108" s="138"/>
      <c r="D108" s="138"/>
      <c r="E108" s="3169"/>
      <c r="F108" s="3170"/>
      <c r="G108" s="2519" t="s">
        <v>2300</v>
      </c>
      <c r="H108" s="371">
        <f ca="1">ROUND(H107*10000/'数据-汇总表'!E3,0)</f>
        <v>11174</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74484</v>
      </c>
      <c r="I118" s="1793">
        <f ca="1">ROUND(IF(D32="楼面单价",C32,H118*10000/B118),0)</f>
        <v>23417</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柒亿肆仟肆佰捌拾肆万元整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74484</v>
      </c>
      <c r="E122" s="3209"/>
      <c r="F122" s="3209"/>
      <c r="G122" s="3209"/>
      <c r="H122" s="3209"/>
      <c r="I122" s="3210"/>
    </row>
    <row r="123" spans="1:11" ht="18.75" customHeight="1">
      <c r="A123" s="3080" t="s">
        <v>2318</v>
      </c>
      <c r="B123" s="3080"/>
      <c r="C123" s="3080"/>
      <c r="D123" s="3180" t="str">
        <f ca="1">NUMBERSTRING(INT(D122*10000),2)&amp;"元整"</f>
        <v>柒亿肆仟肆佰捌拾肆万元整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2" t="s">
        <v>2457</v>
      </c>
    </row>
    <row r="43" spans="1:7" ht="13.5" customHeight="1">
      <c r="A43" s="952" t="s">
        <v>792</v>
      </c>
      <c r="B43" s="259" t="s">
        <v>2411</v>
      </c>
      <c r="C43" s="282">
        <f ca="1">ROUND(IF('数据-取费表'!B22&lt;=1,C39*F22*'数据-取费表'!B20/2,C39*(POWER((1+F22),'数据-取费表'!B20/2)-1)),0)</f>
        <v>197953</v>
      </c>
      <c r="D43" s="282"/>
      <c r="E43" s="282"/>
      <c r="F43" s="283"/>
      <c r="G43" s="3223"/>
    </row>
    <row r="44" spans="1:7" ht="13.5" customHeight="1">
      <c r="A44" s="952" t="s">
        <v>793</v>
      </c>
      <c r="B44" s="259" t="s">
        <v>2412</v>
      </c>
      <c r="C44" s="282">
        <f ca="1">ROUND(IF('数据-取费表'!B22&lt;=1,C40*F22*'数据-取费表'!B20/2,C40*(POWER((1+F22),'数据-取费表'!B20/2)-1)),4)</f>
        <v>1E-3</v>
      </c>
      <c r="D44" s="282"/>
      <c r="E44" s="282"/>
      <c r="F44" s="283"/>
      <c r="G44" s="3224"/>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6" t="str">
        <f>项目基本情况!B1</f>
        <v>北京市房地产市场价值预评估</v>
      </c>
      <c r="C37" s="3036"/>
      <c r="D37" s="3036"/>
      <c r="E37" s="3036"/>
      <c r="F37" s="3036"/>
      <c r="G37" s="3036"/>
      <c r="H37" s="3036"/>
      <c r="I37" s="3036"/>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5" sqref="F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3156</v>
      </c>
      <c r="D4" s="2426" t="s">
        <v>3069</v>
      </c>
      <c r="E4" s="3159" t="s">
        <v>2123</v>
      </c>
      <c r="F4" s="3160"/>
      <c r="G4" s="3160"/>
      <c r="H4" s="3160"/>
      <c r="I4" s="3168"/>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41889</v>
      </c>
      <c r="E19" s="2433" t="s">
        <v>2148</v>
      </c>
      <c r="F19" s="2434" t="s">
        <v>2147</v>
      </c>
      <c r="G19" s="145">
        <f ca="1">ROUND(C19*$C$18+D19*$D$18,0)</f>
        <v>40701</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22469</v>
      </c>
      <c r="E20" s="2436"/>
      <c r="F20" s="1248" t="s">
        <v>2151</v>
      </c>
      <c r="G20" s="148">
        <f ca="1">ROUND(C20*$C$18+D20*$D$18,0)</f>
        <v>21832</v>
      </c>
      <c r="H20" s="981" t="s">
        <v>2152</v>
      </c>
      <c r="I20" s="138"/>
    </row>
    <row r="21" spans="1:35" ht="15" customHeight="1" thickBot="1">
      <c r="A21" s="1001"/>
      <c r="B21" s="2437" t="s">
        <v>2153</v>
      </c>
      <c r="C21" s="787">
        <f ca="1">ROUND(C19*10000/L19,0)</f>
        <v>65242</v>
      </c>
      <c r="D21" s="788">
        <f ca="1">ROUND(D19*10000/L19,0)</f>
        <v>69165</v>
      </c>
      <c r="E21" s="1001"/>
      <c r="F21" s="2437" t="s">
        <v>2153</v>
      </c>
      <c r="G21" s="149">
        <f ca="1">ROUND(G19*10000/L19,0)</f>
        <v>67203</v>
      </c>
      <c r="H21" s="2438" t="s">
        <v>2152</v>
      </c>
      <c r="I21" s="138"/>
    </row>
    <row r="22" spans="1:35" ht="15" thickBot="1">
      <c r="A22" s="2279" t="s">
        <v>2154</v>
      </c>
      <c r="B22" s="2439"/>
      <c r="C22" s="2440"/>
      <c r="D22" s="789">
        <f ca="1">IF(C19&lt;D19,D19/C19-1,C19/D19-1)</f>
        <v>6.0132108420013708E-2</v>
      </c>
      <c r="E22" s="138"/>
      <c r="F22" s="138"/>
      <c r="G22" s="138"/>
      <c r="H22" s="138"/>
      <c r="I22" s="138"/>
    </row>
    <row r="23" spans="1:35" ht="13.5" thickBot="1">
      <c r="A23" s="2417"/>
      <c r="B23" s="2417"/>
      <c r="C23" s="2417"/>
      <c r="D23" s="2417"/>
      <c r="E23" s="138"/>
      <c r="F23" s="138"/>
      <c r="G23" s="138"/>
      <c r="H23" s="138"/>
      <c r="I23" s="138"/>
    </row>
    <row r="24" spans="1:35" ht="14.25">
      <c r="A24" s="3136" t="s">
        <v>2155</v>
      </c>
      <c r="B24" s="2434" t="s">
        <v>2147</v>
      </c>
      <c r="C24" s="145">
        <f>IF(B30=0,0,D30)</f>
        <v>0</v>
      </c>
      <c r="D24" s="2441"/>
      <c r="E24" s="138"/>
      <c r="F24" s="138"/>
      <c r="G24" s="138"/>
      <c r="H24" s="138"/>
      <c r="I24" s="138"/>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40701</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40701</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2953">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2953">
        <v>2</v>
      </c>
      <c r="K47" s="3193" t="s">
        <v>2194</v>
      </c>
      <c r="L47" s="3193"/>
      <c r="M47" s="3214">
        <f>'数据-取费表'!B2</f>
        <v>43570</v>
      </c>
      <c r="N47" s="3214"/>
      <c r="O47" s="3214"/>
    </row>
    <row r="48" spans="1:15" ht="25.5">
      <c r="A48" s="3161" t="s">
        <v>2195</v>
      </c>
      <c r="B48" s="3144"/>
      <c r="C48" s="3144"/>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93" t="s">
        <v>2198</v>
      </c>
      <c r="L48" s="3193"/>
      <c r="M48" s="3215">
        <f ca="1">H101</f>
        <v>40701</v>
      </c>
      <c r="N48" s="3215"/>
      <c r="O48" s="3215"/>
    </row>
    <row r="49" spans="1:35" ht="25.5" customHeight="1">
      <c r="A49" s="176" t="s">
        <v>2199</v>
      </c>
      <c r="B49" s="3129" t="s">
        <v>2200</v>
      </c>
      <c r="C49" s="3129"/>
      <c r="D49" s="177">
        <v>0</v>
      </c>
      <c r="E49" s="23" t="s">
        <v>2201</v>
      </c>
      <c r="F49" s="28" t="s">
        <v>34</v>
      </c>
      <c r="G49" s="3199"/>
      <c r="H49" s="138"/>
      <c r="I49" s="2482"/>
      <c r="J49" s="2953">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2946" t="s">
        <v>2205</v>
      </c>
      <c r="K51" s="3193" t="s">
        <v>2206</v>
      </c>
      <c r="L51" s="3193"/>
      <c r="M51" s="2946" t="s">
        <v>2207</v>
      </c>
      <c r="N51" s="2946" t="s">
        <v>2208</v>
      </c>
      <c r="O51" s="2946" t="s">
        <v>2209</v>
      </c>
    </row>
    <row r="52" spans="1:35" ht="24" customHeight="1">
      <c r="A52" s="183" t="s">
        <v>2210</v>
      </c>
      <c r="B52" s="3129" t="s">
        <v>2211</v>
      </c>
      <c r="C52" s="3129"/>
      <c r="D52" s="182">
        <f ca="1">ROUND(D45*'数据-取费表'!B41/(1+'数据-取费表'!C42),0)</f>
        <v>2132</v>
      </c>
      <c r="E52" s="11" t="s">
        <v>2212</v>
      </c>
      <c r="F52" s="184">
        <f>'数据-取费表'!B41</f>
        <v>5.5000000000000007E-2</v>
      </c>
      <c r="G52" s="2484"/>
      <c r="H52" s="138"/>
      <c r="I52" s="2482"/>
      <c r="J52" s="2953">
        <v>1</v>
      </c>
      <c r="K52" s="3194" t="s">
        <v>2213</v>
      </c>
      <c r="L52" s="3194"/>
      <c r="M52" s="1749">
        <f>D48</f>
        <v>0</v>
      </c>
      <c r="N52" s="2953" t="str">
        <f>E48</f>
        <v>销售额×税（费）率</v>
      </c>
      <c r="O52" s="1750" t="str">
        <f>F48</f>
        <v>免征</v>
      </c>
    </row>
    <row r="53" spans="1:35" ht="12" customHeight="1">
      <c r="A53" s="183" t="s">
        <v>2214</v>
      </c>
      <c r="B53" s="3152" t="s">
        <v>2215</v>
      </c>
      <c r="C53" s="3153"/>
      <c r="D53" s="182">
        <f ca="1">ROUND(D45*'数据-取费表'!B41/(1+'数据-取费表'!C42),0)</f>
        <v>2132</v>
      </c>
      <c r="E53" s="11" t="s">
        <v>2212</v>
      </c>
      <c r="F53" s="184">
        <f>'数据-取费表'!B41</f>
        <v>5.5000000000000007E-2</v>
      </c>
      <c r="G53" s="2484"/>
      <c r="H53" s="138"/>
      <c r="I53" s="2482"/>
      <c r="J53" s="2953">
        <v>2</v>
      </c>
      <c r="K53" s="3194" t="s">
        <v>2216</v>
      </c>
      <c r="L53" s="3194"/>
      <c r="M53" s="1749">
        <f t="shared" ref="M53:O54" ca="1" si="0">D55</f>
        <v>20</v>
      </c>
      <c r="N53" s="2953" t="str">
        <f t="shared" si="0"/>
        <v>销售额×税（费）率</v>
      </c>
      <c r="O53" s="1750">
        <f t="shared" si="0"/>
        <v>5.0000000000000001E-4</v>
      </c>
    </row>
    <row r="54" spans="1:35" ht="12" customHeight="1">
      <c r="A54" s="183" t="s">
        <v>2217</v>
      </c>
      <c r="B54" s="3152" t="s">
        <v>2218</v>
      </c>
      <c r="C54" s="3153"/>
      <c r="D54" s="182">
        <f ca="1">C68</f>
        <v>2132</v>
      </c>
      <c r="E54" s="30" t="s">
        <v>2219</v>
      </c>
      <c r="F54" s="184">
        <f>'数据-取费表'!B41</f>
        <v>5.5000000000000007E-2</v>
      </c>
      <c r="G54" s="2484"/>
      <c r="H54" s="2485"/>
      <c r="I54" s="2482"/>
      <c r="J54" s="2953">
        <v>3</v>
      </c>
      <c r="K54" s="3194" t="s">
        <v>2220</v>
      </c>
      <c r="L54" s="3194"/>
      <c r="M54" s="1749">
        <f t="shared" ca="1" si="0"/>
        <v>23074</v>
      </c>
      <c r="N54" s="2953" t="str">
        <f t="shared" si="0"/>
        <v>增值额×税（费）率</v>
      </c>
      <c r="O54" s="1751" t="str">
        <f t="shared" si="0"/>
        <v>——</v>
      </c>
    </row>
    <row r="55" spans="1:35" ht="24" customHeight="1">
      <c r="A55" s="3143" t="s">
        <v>2221</v>
      </c>
      <c r="B55" s="3144"/>
      <c r="C55" s="3144"/>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94" t="str">
        <f>IF(H59="非个人房产","——","个人所得税")</f>
        <v>——</v>
      </c>
      <c r="L55" s="3194"/>
      <c r="M55" s="1752" t="str">
        <f>D59</f>
        <v>——</v>
      </c>
      <c r="N55" s="2954" t="str">
        <f>E59</f>
        <v>——</v>
      </c>
      <c r="O55" s="1753" t="str">
        <f>F59</f>
        <v>——</v>
      </c>
    </row>
    <row r="56" spans="1:35" ht="24.75">
      <c r="A56" s="3143" t="s">
        <v>2224</v>
      </c>
      <c r="B56" s="3144"/>
      <c r="C56" s="3144"/>
      <c r="D56" s="185">
        <f ca="1">IF(H56="个人住宅",D57,D58)</f>
        <v>23074</v>
      </c>
      <c r="E56" s="11" t="s">
        <v>2225</v>
      </c>
      <c r="F56" s="184" t="str">
        <f>IF(H56="正常",F58,"免征")</f>
        <v>——</v>
      </c>
      <c r="G56" s="2486" t="s">
        <v>2226</v>
      </c>
      <c r="H56" s="2487" t="s">
        <v>2223</v>
      </c>
      <c r="I56" s="2488"/>
      <c r="J56" s="2953"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IF(AND(J55="",J56=""),4,IF(项目基本情况!K6="上海银行",'结果表-商业'!J56+1,'结果表-商业'!J55+1))</f>
        <v>4</v>
      </c>
      <c r="K57" s="3194" t="s">
        <v>2228</v>
      </c>
      <c r="L57" s="2489" t="s">
        <v>2229</v>
      </c>
      <c r="M57" s="1754"/>
      <c r="N57" s="1755">
        <f ca="1">SUMIF(M52:M56,"&lt;9e307")</f>
        <v>23094</v>
      </c>
      <c r="O57" s="2490"/>
      <c r="P57" s="1748" t="e">
        <f ca="1">N57/M49</f>
        <v>#VALUE!</v>
      </c>
    </row>
    <row r="58" spans="1:35" ht="24.75">
      <c r="A58" s="183" t="s">
        <v>2210</v>
      </c>
      <c r="B58" s="3159" t="s">
        <v>2230</v>
      </c>
      <c r="C58" s="3160"/>
      <c r="D58" s="185">
        <f ca="1">IF(H58="转让取得",C81,C97)</f>
        <v>23074</v>
      </c>
      <c r="E58" s="11" t="s">
        <v>2225</v>
      </c>
      <c r="F58" s="24" t="s">
        <v>34</v>
      </c>
      <c r="G58" s="2484"/>
      <c r="H58" s="2487" t="s">
        <v>2231</v>
      </c>
      <c r="I58" s="2488"/>
      <c r="J58" s="3194"/>
      <c r="K58" s="3194"/>
      <c r="L58" s="2489" t="s">
        <v>2232</v>
      </c>
      <c r="M58" s="1756"/>
      <c r="N58" s="2491" t="str">
        <f ca="1">NUMBERSTRING(INT(N57*10000),2)&amp;"元整"</f>
        <v>贰亿叁仟零玖拾肆万元整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2953"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2953">
        <f>J59+1</f>
        <v>6</v>
      </c>
      <c r="K61" s="3194" t="s">
        <v>2237</v>
      </c>
      <c r="L61" s="3194"/>
      <c r="M61" s="1759"/>
      <c r="N61" s="1760" t="e">
        <f ca="1">ROUND(N59*10000/'数据-汇总表'!E3,0)</f>
        <v>#VALUE!</v>
      </c>
      <c r="O61" s="2497"/>
    </row>
    <row r="62" spans="1:35" ht="12.75">
      <c r="A62" s="3157" t="s">
        <v>2238</v>
      </c>
      <c r="B62" s="3158"/>
      <c r="C62" s="2958"/>
      <c r="D62" s="2958" t="s">
        <v>2239</v>
      </c>
      <c r="E62" s="192" t="s">
        <v>2240</v>
      </c>
      <c r="F62" s="2488"/>
      <c r="G62" s="2488"/>
      <c r="H62" s="2496"/>
      <c r="I62" s="138"/>
    </row>
    <row r="63" spans="1:35" ht="12.75">
      <c r="A63" s="203" t="s">
        <v>775</v>
      </c>
      <c r="B63" s="193" t="s">
        <v>2241</v>
      </c>
      <c r="C63" s="194">
        <f ca="1">ROUND((C64+C65)/(1+'数据-取费表'!C42),0)</f>
        <v>38763</v>
      </c>
      <c r="D63" s="195"/>
      <c r="E63" s="196"/>
      <c r="F63" s="2488"/>
      <c r="G63" s="2488"/>
      <c r="H63" s="2496"/>
      <c r="I63" s="138"/>
      <c r="J63" s="3219"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40701</v>
      </c>
      <c r="D64" s="200" t="s">
        <v>32</v>
      </c>
      <c r="E64" s="201"/>
      <c r="F64" s="2488"/>
      <c r="G64" s="2488"/>
      <c r="H64" s="2496"/>
      <c r="I64" s="138"/>
      <c r="J64" s="3219"/>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2949" t="s">
        <v>2250</v>
      </c>
      <c r="L66" s="1747" t="e">
        <f>M49*0.5%</f>
        <v>#VALUE!</v>
      </c>
      <c r="M66" s="24" t="e">
        <f>IF(L66&gt;0.5,0.5,ROUND(L66,0))</f>
        <v>#VALUE!</v>
      </c>
      <c r="N66" s="138" t="s">
        <v>2251</v>
      </c>
      <c r="Z66" s="2422"/>
      <c r="AI66" s="2423"/>
    </row>
    <row r="67" spans="1:35" ht="14.25" customHeight="1">
      <c r="A67" s="203" t="s">
        <v>773</v>
      </c>
      <c r="B67" s="204" t="s">
        <v>2252</v>
      </c>
      <c r="C67" s="207">
        <f ca="1">C63-C66</f>
        <v>38763</v>
      </c>
      <c r="D67" s="200" t="s">
        <v>32</v>
      </c>
      <c r="E67" s="201"/>
      <c r="F67" s="2488"/>
      <c r="G67" s="2488"/>
      <c r="H67" s="2496"/>
      <c r="I67" s="138"/>
      <c r="J67" s="3219"/>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219"/>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38763</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38569</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198.80927835051546</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38763</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38569</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198.80927835051546</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典型户型修正</v>
      </c>
      <c r="D101" s="735" t="str">
        <f>D4</f>
        <v>收益法-商业</v>
      </c>
      <c r="E101" s="3216" t="s">
        <v>2297</v>
      </c>
      <c r="F101" s="3170"/>
      <c r="G101" s="2519" t="s">
        <v>2298</v>
      </c>
      <c r="H101" s="1046">
        <f ca="1">H118</f>
        <v>40701</v>
      </c>
      <c r="I101" s="138"/>
    </row>
    <row r="102" spans="1:35" ht="18.75" customHeight="1">
      <c r="A102" s="3172" t="s">
        <v>2299</v>
      </c>
      <c r="B102" s="2519" t="s">
        <v>2298</v>
      </c>
      <c r="C102" s="734">
        <f ca="1">C19</f>
        <v>39513</v>
      </c>
      <c r="D102" s="735">
        <f ca="1">D19</f>
        <v>41889</v>
      </c>
      <c r="E102" s="3216"/>
      <c r="F102" s="3170"/>
      <c r="G102" s="2519" t="s">
        <v>2300</v>
      </c>
      <c r="H102" s="371">
        <f ca="1">I118</f>
        <v>21831</v>
      </c>
      <c r="I102" s="138"/>
    </row>
    <row r="103" spans="1:35" ht="42.75" customHeight="1">
      <c r="A103" s="3172"/>
      <c r="B103" s="2519" t="s">
        <v>2300</v>
      </c>
      <c r="C103" s="736">
        <f ca="1">C20</f>
        <v>21194</v>
      </c>
      <c r="D103" s="737">
        <f ca="1">D20</f>
        <v>22469</v>
      </c>
      <c r="E103" s="3211" t="s">
        <v>2301</v>
      </c>
      <c r="F103" s="3212"/>
      <c r="G103" s="2520" t="s">
        <v>2302</v>
      </c>
      <c r="H103" s="1046">
        <f>IF(D36="正常操作",H104+H105+H106,H105+H106)</f>
        <v>0</v>
      </c>
      <c r="I103" s="138"/>
    </row>
    <row r="104" spans="1:35" ht="18.75" customHeight="1">
      <c r="A104" s="3172" t="s">
        <v>2303</v>
      </c>
      <c r="B104" s="2521" t="s">
        <v>2298</v>
      </c>
      <c r="C104" s="738">
        <f ca="1">H118</f>
        <v>40701</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21831</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40701</v>
      </c>
      <c r="I107" s="138"/>
    </row>
    <row r="108" spans="1:35" ht="18.75" customHeight="1">
      <c r="A108" s="138"/>
      <c r="B108" s="138"/>
      <c r="C108" s="138"/>
      <c r="D108" s="138"/>
      <c r="E108" s="3169"/>
      <c r="F108" s="3170"/>
      <c r="G108" s="2519" t="s">
        <v>2300</v>
      </c>
      <c r="H108" s="371">
        <f ca="1">ROUND(H107*10000/'数据-汇总表'!E3,0)</f>
        <v>6106</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40701</v>
      </c>
      <c r="I118" s="2945">
        <f ca="1">ROUND(IF(D32="楼面单价",C32,H118*10000/B118),0)</f>
        <v>21831</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肆亿零柒佰零壹万元整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40701</v>
      </c>
      <c r="E122" s="3209"/>
      <c r="F122" s="3209"/>
      <c r="G122" s="3209"/>
      <c r="H122" s="3209"/>
      <c r="I122" s="3210"/>
    </row>
    <row r="123" spans="1:11" ht="18.75" customHeight="1">
      <c r="A123" s="3080" t="s">
        <v>2318</v>
      </c>
      <c r="B123" s="3080"/>
      <c r="C123" s="3080"/>
      <c r="D123" s="3180" t="str">
        <f ca="1">NUMBERSTRING(INT(D122*10000),2)&amp;"元整"</f>
        <v>肆亿零柒佰零壹万元整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3316</v>
      </c>
      <c r="D4" s="2426" t="s">
        <v>3311</v>
      </c>
      <c r="E4" s="3159" t="s">
        <v>2123</v>
      </c>
      <c r="F4" s="3160"/>
      <c r="G4" s="3160"/>
      <c r="H4" s="3160"/>
      <c r="I4" s="3168"/>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34018</v>
      </c>
      <c r="E19" s="2433" t="s">
        <v>2148</v>
      </c>
      <c r="F19" s="2434" t="s">
        <v>2147</v>
      </c>
      <c r="G19" s="145">
        <f ca="1">ROUND(C19*$C$18+D19*$D$18,0)</f>
        <v>36989</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20991</v>
      </c>
      <c r="E20" s="2436"/>
      <c r="F20" s="1248" t="s">
        <v>2151</v>
      </c>
      <c r="G20" s="148">
        <f ca="1">ROUND(C20*$C$18+D20*$D$18,0)</f>
        <v>22824</v>
      </c>
      <c r="H20" s="981" t="s">
        <v>2152</v>
      </c>
      <c r="I20" s="138"/>
    </row>
    <row r="21" spans="1:35" ht="15" customHeight="1" thickBot="1">
      <c r="A21" s="1001"/>
      <c r="B21" s="2437" t="s">
        <v>2153</v>
      </c>
      <c r="C21" s="787">
        <f ca="1">ROUND(C19*10000/L19,0)</f>
        <v>75902</v>
      </c>
      <c r="D21" s="788">
        <f ca="1">ROUND(D19*10000/L19,0)</f>
        <v>64615</v>
      </c>
      <c r="E21" s="1001"/>
      <c r="F21" s="2437" t="s">
        <v>2153</v>
      </c>
      <c r="G21" s="149">
        <f ca="1">ROUND(G19*10000/L19,0)</f>
        <v>70259</v>
      </c>
      <c r="H21" s="2438" t="s">
        <v>2152</v>
      </c>
      <c r="I21" s="138"/>
    </row>
    <row r="22" spans="1:35" ht="15" thickBot="1">
      <c r="A22" s="2279" t="s">
        <v>2154</v>
      </c>
      <c r="B22" s="2439"/>
      <c r="C22" s="2440"/>
      <c r="D22" s="789">
        <f ca="1">IF(C19&lt;D19,D19/C19-1,C19/D19-1)</f>
        <v>0.17467223234758067</v>
      </c>
      <c r="E22" s="138"/>
      <c r="F22" s="138"/>
      <c r="G22" s="138"/>
      <c r="H22" s="138"/>
      <c r="I22" s="138"/>
    </row>
    <row r="23" spans="1:35" ht="13.5" thickBot="1">
      <c r="A23" s="2417"/>
      <c r="B23" s="2417"/>
      <c r="C23" s="2417"/>
      <c r="D23" s="2417"/>
      <c r="E23" s="138"/>
      <c r="F23" s="138"/>
      <c r="G23" s="138"/>
      <c r="H23" s="138"/>
      <c r="I23" s="138"/>
    </row>
    <row r="24" spans="1:35" ht="14.25">
      <c r="A24" s="3136" t="s">
        <v>2155</v>
      </c>
      <c r="B24" s="2434" t="s">
        <v>2147</v>
      </c>
      <c r="C24" s="145">
        <f>IF(B30=0,0,D30)</f>
        <v>0</v>
      </c>
      <c r="D24" s="2441"/>
      <c r="E24" s="138"/>
      <c r="F24" s="138"/>
      <c r="G24" s="138"/>
      <c r="H24" s="138"/>
      <c r="I24" s="138"/>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36989</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36989</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3014">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3014">
        <v>2</v>
      </c>
      <c r="K47" s="3193" t="s">
        <v>2194</v>
      </c>
      <c r="L47" s="3193"/>
      <c r="M47" s="3214">
        <f>'数据-取费表'!B2</f>
        <v>43570</v>
      </c>
      <c r="N47" s="3214"/>
      <c r="O47" s="3214"/>
    </row>
    <row r="48" spans="1:15" ht="25.5">
      <c r="A48" s="3161" t="s">
        <v>2195</v>
      </c>
      <c r="B48" s="3144"/>
      <c r="C48" s="3144"/>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93" t="s">
        <v>2198</v>
      </c>
      <c r="L48" s="3193"/>
      <c r="M48" s="3215">
        <f ca="1">H101</f>
        <v>36989</v>
      </c>
      <c r="N48" s="3215"/>
      <c r="O48" s="3215"/>
    </row>
    <row r="49" spans="1:35" ht="25.5" customHeight="1">
      <c r="A49" s="176" t="s">
        <v>2199</v>
      </c>
      <c r="B49" s="3129" t="s">
        <v>2200</v>
      </c>
      <c r="C49" s="3129"/>
      <c r="D49" s="177">
        <v>0</v>
      </c>
      <c r="E49" s="23" t="s">
        <v>2201</v>
      </c>
      <c r="F49" s="28" t="s">
        <v>34</v>
      </c>
      <c r="G49" s="3199"/>
      <c r="H49" s="138"/>
      <c r="I49" s="2482"/>
      <c r="J49" s="3014">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3007" t="s">
        <v>2205</v>
      </c>
      <c r="K51" s="3193" t="s">
        <v>2206</v>
      </c>
      <c r="L51" s="3193"/>
      <c r="M51" s="3007" t="s">
        <v>2207</v>
      </c>
      <c r="N51" s="3007" t="s">
        <v>2208</v>
      </c>
      <c r="O51" s="3007" t="s">
        <v>2209</v>
      </c>
    </row>
    <row r="52" spans="1:35" ht="24" customHeight="1">
      <c r="A52" s="183" t="s">
        <v>2210</v>
      </c>
      <c r="B52" s="3129" t="s">
        <v>2211</v>
      </c>
      <c r="C52" s="3129"/>
      <c r="D52" s="182">
        <f ca="1">ROUND(D45*'数据-取费表'!B41/(1+'数据-取费表'!C42),0)</f>
        <v>1938</v>
      </c>
      <c r="E52" s="11" t="s">
        <v>2212</v>
      </c>
      <c r="F52" s="184">
        <f>'数据-取费表'!B41</f>
        <v>5.5000000000000007E-2</v>
      </c>
      <c r="G52" s="2484"/>
      <c r="H52" s="138"/>
      <c r="I52" s="2482"/>
      <c r="J52" s="3014">
        <v>1</v>
      </c>
      <c r="K52" s="3194" t="s">
        <v>2213</v>
      </c>
      <c r="L52" s="3194"/>
      <c r="M52" s="1749">
        <f>D48</f>
        <v>0</v>
      </c>
      <c r="N52" s="3014" t="str">
        <f>E48</f>
        <v>销售额×税（费）率</v>
      </c>
      <c r="O52" s="1750" t="str">
        <f>F48</f>
        <v>免征</v>
      </c>
    </row>
    <row r="53" spans="1:35" ht="12" customHeight="1">
      <c r="A53" s="183" t="s">
        <v>2214</v>
      </c>
      <c r="B53" s="3152" t="s">
        <v>2215</v>
      </c>
      <c r="C53" s="3153"/>
      <c r="D53" s="182">
        <f ca="1">ROUND(D45*'数据-取费表'!B41/(1+'数据-取费表'!C42),0)</f>
        <v>1938</v>
      </c>
      <c r="E53" s="11" t="s">
        <v>2212</v>
      </c>
      <c r="F53" s="184">
        <f>'数据-取费表'!B41</f>
        <v>5.5000000000000007E-2</v>
      </c>
      <c r="G53" s="2484"/>
      <c r="H53" s="138"/>
      <c r="I53" s="2482"/>
      <c r="J53" s="3014">
        <v>2</v>
      </c>
      <c r="K53" s="3194" t="s">
        <v>2216</v>
      </c>
      <c r="L53" s="3194"/>
      <c r="M53" s="1749">
        <f t="shared" ref="M53:O54" ca="1" si="0">D55</f>
        <v>18</v>
      </c>
      <c r="N53" s="3014" t="str">
        <f t="shared" si="0"/>
        <v>销售额×税（费）率</v>
      </c>
      <c r="O53" s="1750">
        <f t="shared" si="0"/>
        <v>5.0000000000000001E-4</v>
      </c>
    </row>
    <row r="54" spans="1:35" ht="12" customHeight="1">
      <c r="A54" s="183" t="s">
        <v>2217</v>
      </c>
      <c r="B54" s="3152" t="s">
        <v>2218</v>
      </c>
      <c r="C54" s="3153"/>
      <c r="D54" s="182">
        <f ca="1">C68</f>
        <v>1938</v>
      </c>
      <c r="E54" s="30" t="s">
        <v>2219</v>
      </c>
      <c r="F54" s="184">
        <f>'数据-取费表'!B41</f>
        <v>5.5000000000000007E-2</v>
      </c>
      <c r="G54" s="2484"/>
      <c r="H54" s="2485"/>
      <c r="I54" s="2482"/>
      <c r="J54" s="3014">
        <v>3</v>
      </c>
      <c r="K54" s="3194" t="s">
        <v>2220</v>
      </c>
      <c r="L54" s="3194"/>
      <c r="M54" s="1749">
        <f t="shared" ca="1" si="0"/>
        <v>20970</v>
      </c>
      <c r="N54" s="3014" t="str">
        <f t="shared" si="0"/>
        <v>增值额×税（费）率</v>
      </c>
      <c r="O54" s="1751" t="str">
        <f t="shared" si="0"/>
        <v>——</v>
      </c>
    </row>
    <row r="55" spans="1:35" ht="24" customHeight="1">
      <c r="A55" s="3143" t="s">
        <v>2221</v>
      </c>
      <c r="B55" s="3144"/>
      <c r="C55" s="3144"/>
      <c r="D55" s="185">
        <f ca="1">IF(H55="个人住宅",0,ROUND(D45*I55,0))</f>
        <v>18</v>
      </c>
      <c r="E55" s="11" t="s">
        <v>2222</v>
      </c>
      <c r="F55" s="184">
        <f>IF(H55="正常",I55,"免征")</f>
        <v>5.0000000000000001E-4</v>
      </c>
      <c r="G55" s="2484"/>
      <c r="H55" s="2481" t="s">
        <v>2223</v>
      </c>
      <c r="I55" s="186">
        <f>'数据-取费表'!B49</f>
        <v>5.0000000000000001E-4</v>
      </c>
      <c r="J55" s="3014" t="str">
        <f>IF(H59="非个人房产","",4)</f>
        <v/>
      </c>
      <c r="K55" s="3194" t="str">
        <f>IF(H59="非个人房产","——","个人所得税")</f>
        <v>——</v>
      </c>
      <c r="L55" s="3194"/>
      <c r="M55" s="1752" t="str">
        <f>D59</f>
        <v>——</v>
      </c>
      <c r="N55" s="3015" t="str">
        <f>E59</f>
        <v>——</v>
      </c>
      <c r="O55" s="1753" t="str">
        <f>F59</f>
        <v>——</v>
      </c>
    </row>
    <row r="56" spans="1:35" ht="24.75">
      <c r="A56" s="3143" t="s">
        <v>2224</v>
      </c>
      <c r="B56" s="3144"/>
      <c r="C56" s="3144"/>
      <c r="D56" s="185">
        <f ca="1">IF(H56="个人住宅",D57,D58)</f>
        <v>20970</v>
      </c>
      <c r="E56" s="11" t="s">
        <v>2225</v>
      </c>
      <c r="F56" s="184" t="str">
        <f>IF(H56="正常",F58,"免征")</f>
        <v>——</v>
      </c>
      <c r="G56" s="2486" t="s">
        <v>2226</v>
      </c>
      <c r="H56" s="2487" t="s">
        <v>2223</v>
      </c>
      <c r="I56" s="2488"/>
      <c r="J56" s="3014"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IF(AND(J55="",J56=""),4,IF(项目基本情况!K6="上海银行",'结果表-公寓'!J56+1,'结果表-公寓'!J55+1))</f>
        <v>4</v>
      </c>
      <c r="K57" s="3194" t="s">
        <v>2228</v>
      </c>
      <c r="L57" s="2489" t="s">
        <v>2229</v>
      </c>
      <c r="M57" s="1754"/>
      <c r="N57" s="1755">
        <f ca="1">SUMIF(M52:M56,"&lt;9e307")</f>
        <v>20988</v>
      </c>
      <c r="O57" s="2490"/>
      <c r="P57" s="1748" t="e">
        <f ca="1">N57/M49</f>
        <v>#VALUE!</v>
      </c>
    </row>
    <row r="58" spans="1:35" ht="24.75">
      <c r="A58" s="183" t="s">
        <v>2210</v>
      </c>
      <c r="B58" s="3159" t="s">
        <v>2230</v>
      </c>
      <c r="C58" s="3160"/>
      <c r="D58" s="185">
        <f ca="1">IF(H58="转让取得",C81,C97)</f>
        <v>20970</v>
      </c>
      <c r="E58" s="11" t="s">
        <v>2225</v>
      </c>
      <c r="F58" s="24" t="s">
        <v>34</v>
      </c>
      <c r="G58" s="2484"/>
      <c r="H58" s="2487" t="s">
        <v>2231</v>
      </c>
      <c r="I58" s="2488"/>
      <c r="J58" s="3194"/>
      <c r="K58" s="3194"/>
      <c r="L58" s="2489" t="s">
        <v>2232</v>
      </c>
      <c r="M58" s="1756"/>
      <c r="N58" s="2491" t="str">
        <f ca="1">NUMBERSTRING(INT(N57*10000),2)&amp;"元整"</f>
        <v>贰亿零玖佰捌拾捌万元整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3014"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3014">
        <f>J59+1</f>
        <v>6</v>
      </c>
      <c r="K61" s="3194" t="s">
        <v>2237</v>
      </c>
      <c r="L61" s="3194"/>
      <c r="M61" s="1759"/>
      <c r="N61" s="1760" t="e">
        <f ca="1">ROUND(N59*10000/'数据-汇总表'!E3,0)</f>
        <v>#VALUE!</v>
      </c>
      <c r="O61" s="2497"/>
    </row>
    <row r="62" spans="1:35" ht="12.75">
      <c r="A62" s="3157" t="s">
        <v>2238</v>
      </c>
      <c r="B62" s="3158"/>
      <c r="C62" s="3019"/>
      <c r="D62" s="3019" t="s">
        <v>2239</v>
      </c>
      <c r="E62" s="192" t="s">
        <v>2240</v>
      </c>
      <c r="F62" s="2488"/>
      <c r="G62" s="2488"/>
      <c r="H62" s="2496"/>
      <c r="I62" s="138"/>
    </row>
    <row r="63" spans="1:35" ht="12.75">
      <c r="A63" s="203" t="s">
        <v>775</v>
      </c>
      <c r="B63" s="193" t="s">
        <v>2241</v>
      </c>
      <c r="C63" s="194">
        <f ca="1">ROUND((C64+C65)/(1+'数据-取费表'!C42),0)</f>
        <v>35228</v>
      </c>
      <c r="D63" s="195"/>
      <c r="E63" s="196"/>
      <c r="F63" s="2488"/>
      <c r="G63" s="2488"/>
      <c r="H63" s="2496"/>
      <c r="I63" s="138"/>
      <c r="J63" s="3219"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36989</v>
      </c>
      <c r="D64" s="200" t="s">
        <v>32</v>
      </c>
      <c r="E64" s="201"/>
      <c r="F64" s="2488"/>
      <c r="G64" s="2488"/>
      <c r="H64" s="2496"/>
      <c r="I64" s="138"/>
      <c r="J64" s="3219"/>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3010" t="s">
        <v>2250</v>
      </c>
      <c r="L66" s="1747" t="e">
        <f>M49*0.5%</f>
        <v>#VALUE!</v>
      </c>
      <c r="M66" s="24" t="e">
        <f>IF(L66&gt;0.5,0.5,ROUND(L66,0))</f>
        <v>#VALUE!</v>
      </c>
      <c r="N66" s="138" t="s">
        <v>2251</v>
      </c>
      <c r="Z66" s="2422"/>
      <c r="AI66" s="2423"/>
    </row>
    <row r="67" spans="1:35" ht="14.25" customHeight="1">
      <c r="A67" s="203" t="s">
        <v>773</v>
      </c>
      <c r="B67" s="204" t="s">
        <v>2252</v>
      </c>
      <c r="C67" s="207">
        <f ca="1">C63-C66</f>
        <v>35228</v>
      </c>
      <c r="D67" s="200" t="s">
        <v>32</v>
      </c>
      <c r="E67" s="201"/>
      <c r="F67" s="2488"/>
      <c r="G67" s="2488"/>
      <c r="H67" s="2496"/>
      <c r="I67" s="138"/>
      <c r="J67" s="3219"/>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1938</v>
      </c>
      <c r="D68" s="211">
        <f>'数据-取费表'!B41</f>
        <v>5.5000000000000007E-2</v>
      </c>
      <c r="E68" s="212"/>
      <c r="F68" s="2488"/>
      <c r="G68" s="2488"/>
      <c r="H68" s="2496"/>
      <c r="I68" s="138"/>
      <c r="J68" s="3219"/>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35228</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176</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176</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35052</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199.15909090909091</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20970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35228</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176</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176</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35052</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199.15909090909091</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20970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比较法-公寓</v>
      </c>
      <c r="D101" s="735" t="str">
        <f>D4</f>
        <v>收益法-公寓</v>
      </c>
      <c r="E101" s="3216" t="s">
        <v>2297</v>
      </c>
      <c r="F101" s="3170"/>
      <c r="G101" s="2519" t="s">
        <v>2298</v>
      </c>
      <c r="H101" s="1046">
        <f ca="1">H118</f>
        <v>36989</v>
      </c>
      <c r="I101" s="138"/>
    </row>
    <row r="102" spans="1:35" ht="18.75" customHeight="1">
      <c r="A102" s="3172" t="s">
        <v>2299</v>
      </c>
      <c r="B102" s="2519" t="s">
        <v>2298</v>
      </c>
      <c r="C102" s="734">
        <f ca="1">C19</f>
        <v>39960</v>
      </c>
      <c r="D102" s="735">
        <f ca="1">D19</f>
        <v>34018</v>
      </c>
      <c r="E102" s="3216"/>
      <c r="F102" s="3170"/>
      <c r="G102" s="2519" t="s">
        <v>2300</v>
      </c>
      <c r="H102" s="371">
        <f ca="1">I118</f>
        <v>22824</v>
      </c>
      <c r="I102" s="138"/>
    </row>
    <row r="103" spans="1:35" ht="42.75" customHeight="1">
      <c r="A103" s="3172"/>
      <c r="B103" s="2519" t="s">
        <v>2300</v>
      </c>
      <c r="C103" s="736">
        <f ca="1">C20</f>
        <v>24657</v>
      </c>
      <c r="D103" s="737">
        <f ca="1">D20</f>
        <v>20991</v>
      </c>
      <c r="E103" s="3211" t="s">
        <v>2301</v>
      </c>
      <c r="F103" s="3212"/>
      <c r="G103" s="2520" t="s">
        <v>2302</v>
      </c>
      <c r="H103" s="1046">
        <f>IF(D36="正常操作",H104+H105+H106,H105+H106)</f>
        <v>0</v>
      </c>
      <c r="I103" s="138"/>
    </row>
    <row r="104" spans="1:35" ht="18.75" customHeight="1">
      <c r="A104" s="3172" t="s">
        <v>2303</v>
      </c>
      <c r="B104" s="2521" t="s">
        <v>2298</v>
      </c>
      <c r="C104" s="738">
        <f ca="1">H118</f>
        <v>36989</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22824</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36989</v>
      </c>
      <c r="I107" s="138"/>
    </row>
    <row r="108" spans="1:35" ht="18.75" customHeight="1">
      <c r="A108" s="138"/>
      <c r="B108" s="138"/>
      <c r="C108" s="138"/>
      <c r="D108" s="138"/>
      <c r="E108" s="3169"/>
      <c r="F108" s="3170"/>
      <c r="G108" s="2519" t="s">
        <v>2300</v>
      </c>
      <c r="H108" s="371">
        <f ca="1">ROUND(H107*10000/'数据-汇总表'!E3,0)</f>
        <v>5549</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36989</v>
      </c>
      <c r="I118" s="3005">
        <f ca="1">ROUND(IF(D32="楼面单价",C32,H118*10000/B118),0)</f>
        <v>22824</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叁亿陆仟玖佰捌拾玖万元整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36989</v>
      </c>
      <c r="E122" s="3209"/>
      <c r="F122" s="3209"/>
      <c r="G122" s="3209"/>
      <c r="H122" s="3209"/>
      <c r="I122" s="3210"/>
    </row>
    <row r="123" spans="1:11" ht="18.75" customHeight="1">
      <c r="A123" s="3080" t="s">
        <v>2318</v>
      </c>
      <c r="B123" s="3080"/>
      <c r="C123" s="3080"/>
      <c r="D123" s="3180" t="str">
        <f ca="1">NUMBERSTRING(INT(D122*10000),2)&amp;"元整"</f>
        <v>叁亿陆仟玖佰捌拾玖万元整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0" zoomScaleNormal="80" workbookViewId="0">
      <selection activeCell="J7" sqref="J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39" t="s">
        <v>2649</v>
      </c>
      <c r="AC4" s="3241" t="s">
        <v>2650</v>
      </c>
    </row>
    <row r="5" spans="1:29" ht="15">
      <c r="A5" s="404"/>
      <c r="B5" s="405"/>
      <c r="C5" s="3262" t="s">
        <v>2543</v>
      </c>
      <c r="D5" s="3263"/>
      <c r="E5" s="3269" t="str">
        <f>Sheet3!A55</f>
        <v>恒大城</v>
      </c>
      <c r="F5" s="3270"/>
      <c r="G5" s="3262" t="str">
        <f>Sheet3!A56</f>
        <v>恒大城</v>
      </c>
      <c r="H5" s="3263"/>
      <c r="I5" s="3262" t="str">
        <f>Sheet3!A57</f>
        <v>高教园</v>
      </c>
      <c r="J5" s="3263"/>
      <c r="K5" s="610"/>
      <c r="L5" s="1131"/>
      <c r="M5" s="1132"/>
      <c r="N5" s="1132"/>
      <c r="O5" s="1132"/>
      <c r="P5" s="3250"/>
      <c r="Q5" s="3251"/>
      <c r="R5" s="3256"/>
      <c r="S5" s="3257"/>
      <c r="T5" s="3256"/>
      <c r="U5" s="3257"/>
      <c r="V5" s="3239"/>
      <c r="W5" s="3239"/>
      <c r="X5" s="1811"/>
      <c r="Y5" s="3256"/>
      <c r="Z5" s="3257"/>
      <c r="AA5" s="3242"/>
      <c r="AB5" s="3239"/>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39"/>
      <c r="AC6" s="3243"/>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64"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64" t="s">
        <v>2553</v>
      </c>
      <c r="Q8" s="3265"/>
      <c r="R8" s="768" t="s">
        <v>17</v>
      </c>
      <c r="S8" s="769">
        <f t="shared" si="0"/>
        <v>100</v>
      </c>
      <c r="T8" s="768" t="s">
        <v>17</v>
      </c>
      <c r="U8" s="769">
        <f t="shared" si="1"/>
        <v>100</v>
      </c>
      <c r="V8" s="768" t="s">
        <v>17</v>
      </c>
      <c r="W8" s="769">
        <f t="shared" si="2"/>
        <v>100</v>
      </c>
      <c r="X8" s="770"/>
      <c r="Y8" s="3264" t="s">
        <v>2553</v>
      </c>
      <c r="Z8" s="3265"/>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0"/>
      <c r="Q11" s="1793"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0"/>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0"/>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0"/>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30" t="s">
        <v>2561</v>
      </c>
      <c r="Q15" s="1808" t="str">
        <f t="shared" si="6"/>
        <v>商业繁华度</v>
      </c>
      <c r="R15" s="772" t="s">
        <v>17</v>
      </c>
      <c r="S15" s="773">
        <f t="shared" si="0"/>
        <v>102</v>
      </c>
      <c r="T15" s="772" t="s">
        <v>17</v>
      </c>
      <c r="U15" s="773">
        <f t="shared" si="1"/>
        <v>102</v>
      </c>
      <c r="V15" s="772" t="s">
        <v>17</v>
      </c>
      <c r="W15" s="773">
        <f t="shared" si="2"/>
        <v>102</v>
      </c>
      <c r="X15" s="1811"/>
      <c r="Y15" s="3232"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31"/>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1"/>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31"/>
      <c r="Q18" s="1808"/>
      <c r="R18" s="772"/>
      <c r="S18" s="773"/>
      <c r="T18" s="772"/>
      <c r="U18" s="773"/>
      <c r="V18" s="772"/>
      <c r="W18" s="773"/>
      <c r="X18" s="1811"/>
      <c r="Y18" s="3233"/>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31"/>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31"/>
      <c r="Q20" s="1808"/>
      <c r="R20" s="772"/>
      <c r="S20" s="773"/>
      <c r="T20" s="772"/>
      <c r="U20" s="773"/>
      <c r="V20" s="772"/>
      <c r="W20" s="773"/>
      <c r="X20" s="1811"/>
      <c r="Y20" s="3233"/>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31"/>
      <c r="Q22" s="1808"/>
      <c r="R22" s="772"/>
      <c r="S22" s="773"/>
      <c r="T22" s="772"/>
      <c r="U22" s="773"/>
      <c r="V22" s="772"/>
      <c r="W22" s="773"/>
      <c r="X22" s="1811"/>
      <c r="Y22" s="3233"/>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31"/>
      <c r="Q23" s="1808" t="str">
        <f>B23</f>
        <v>自然及人文环境</v>
      </c>
      <c r="R23" s="772" t="s">
        <v>17</v>
      </c>
      <c r="S23" s="773">
        <f>F23</f>
        <v>100</v>
      </c>
      <c r="T23" s="772" t="s">
        <v>17</v>
      </c>
      <c r="U23" s="773">
        <f>H23</f>
        <v>100</v>
      </c>
      <c r="V23" s="772" t="s">
        <v>17</v>
      </c>
      <c r="W23" s="773">
        <f>J23</f>
        <v>100</v>
      </c>
      <c r="X23" s="1811"/>
      <c r="Y23" s="3233"/>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31"/>
      <c r="Q24" s="1808"/>
      <c r="R24" s="772"/>
      <c r="S24" s="773"/>
      <c r="T24" s="772"/>
      <c r="U24" s="773"/>
      <c r="V24" s="772"/>
      <c r="W24" s="773"/>
      <c r="X24" s="1811"/>
      <c r="Y24" s="3233"/>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31"/>
      <c r="Q25" s="1808" t="str">
        <f t="shared" ref="Q25:Q46" si="11">B25</f>
        <v>临街状况</v>
      </c>
      <c r="R25" s="772" t="s">
        <v>17</v>
      </c>
      <c r="S25" s="773">
        <f>F25</f>
        <v>100</v>
      </c>
      <c r="T25" s="772" t="s">
        <v>17</v>
      </c>
      <c r="U25" s="773">
        <f>H25</f>
        <v>100</v>
      </c>
      <c r="V25" s="772" t="s">
        <v>17</v>
      </c>
      <c r="W25" s="773">
        <f>J25</f>
        <v>100</v>
      </c>
      <c r="X25" s="1811"/>
      <c r="Y25" s="3233"/>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31"/>
      <c r="Q26" s="1808" t="str">
        <f t="shared" si="11"/>
        <v>平面位置/可视性</v>
      </c>
      <c r="R26" s="772" t="s">
        <v>17</v>
      </c>
      <c r="S26" s="773">
        <f>F26</f>
        <v>100</v>
      </c>
      <c r="T26" s="772" t="s">
        <v>17</v>
      </c>
      <c r="U26" s="773">
        <f>H26</f>
        <v>100</v>
      </c>
      <c r="V26" s="772" t="s">
        <v>17</v>
      </c>
      <c r="W26" s="773">
        <f>J26</f>
        <v>100</v>
      </c>
      <c r="X26" s="1811"/>
      <c r="Y26" s="3233"/>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31"/>
      <c r="Q27" s="1793" t="str">
        <f t="shared" si="11"/>
        <v>人流量</v>
      </c>
      <c r="R27" s="768" t="s">
        <v>17</v>
      </c>
      <c r="S27" s="769">
        <f>F27</f>
        <v>102</v>
      </c>
      <c r="T27" s="768" t="s">
        <v>17</v>
      </c>
      <c r="U27" s="769">
        <f>H27</f>
        <v>102</v>
      </c>
      <c r="V27" s="768" t="s">
        <v>17</v>
      </c>
      <c r="W27" s="769">
        <f>J27</f>
        <v>102</v>
      </c>
      <c r="X27" s="770"/>
      <c r="Y27" s="3233"/>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3"/>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1"/>
      <c r="Q29" s="1808">
        <f t="shared" si="11"/>
        <v>111</v>
      </c>
      <c r="R29" s="772" t="s">
        <v>17</v>
      </c>
      <c r="S29" s="773">
        <f t="shared" si="12"/>
        <v>100</v>
      </c>
      <c r="T29" s="772" t="s">
        <v>17</v>
      </c>
      <c r="U29" s="773">
        <f t="shared" si="13"/>
        <v>100</v>
      </c>
      <c r="V29" s="772" t="s">
        <v>17</v>
      </c>
      <c r="W29" s="773">
        <f t="shared" si="14"/>
        <v>100</v>
      </c>
      <c r="X29" s="1811"/>
      <c r="Y29" s="3233"/>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1"/>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1"/>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34" t="s">
        <v>2566</v>
      </c>
      <c r="Q32" s="1808" t="str">
        <f t="shared" si="11"/>
        <v>商业类型</v>
      </c>
      <c r="R32" s="772" t="s">
        <v>17</v>
      </c>
      <c r="S32" s="773">
        <f t="shared" si="12"/>
        <v>98</v>
      </c>
      <c r="T32" s="772" t="s">
        <v>17</v>
      </c>
      <c r="U32" s="773">
        <f t="shared" si="13"/>
        <v>98</v>
      </c>
      <c r="V32" s="772" t="s">
        <v>17</v>
      </c>
      <c r="W32" s="773">
        <f t="shared" si="14"/>
        <v>102</v>
      </c>
      <c r="X32" s="1811"/>
      <c r="Y32" s="3237"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35"/>
      <c r="Q33" s="774" t="str">
        <f t="shared" si="11"/>
        <v>项目建筑规模</v>
      </c>
      <c r="R33" s="775" t="s">
        <v>17</v>
      </c>
      <c r="S33" s="776">
        <f t="shared" si="12"/>
        <v>100</v>
      </c>
      <c r="T33" s="775" t="s">
        <v>17</v>
      </c>
      <c r="U33" s="776">
        <f t="shared" si="13"/>
        <v>96</v>
      </c>
      <c r="V33" s="775" t="s">
        <v>17</v>
      </c>
      <c r="W33" s="776">
        <f t="shared" si="14"/>
        <v>98</v>
      </c>
      <c r="X33" s="777"/>
      <c r="Y33" s="3237"/>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35"/>
      <c r="Q34" s="1808" t="str">
        <f t="shared" si="11"/>
        <v>建筑结构</v>
      </c>
      <c r="R34" s="772" t="s">
        <v>17</v>
      </c>
      <c r="S34" s="773">
        <f t="shared" si="12"/>
        <v>100</v>
      </c>
      <c r="T34" s="772" t="s">
        <v>17</v>
      </c>
      <c r="U34" s="773">
        <f t="shared" si="13"/>
        <v>100</v>
      </c>
      <c r="V34" s="772" t="s">
        <v>17</v>
      </c>
      <c r="W34" s="773">
        <f t="shared" si="14"/>
        <v>100</v>
      </c>
      <c r="X34" s="1811"/>
      <c r="Y34" s="3237"/>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35"/>
      <c r="Q35" s="1808" t="str">
        <f t="shared" si="11"/>
        <v>公共部分装修</v>
      </c>
      <c r="R35" s="772" t="s">
        <v>17</v>
      </c>
      <c r="S35" s="773">
        <f t="shared" si="12"/>
        <v>100</v>
      </c>
      <c r="T35" s="772" t="s">
        <v>17</v>
      </c>
      <c r="U35" s="773">
        <f t="shared" si="13"/>
        <v>100</v>
      </c>
      <c r="V35" s="772" t="s">
        <v>17</v>
      </c>
      <c r="W35" s="773">
        <f t="shared" si="14"/>
        <v>100</v>
      </c>
      <c r="X35" s="1811"/>
      <c r="Y35" s="3237"/>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35"/>
      <c r="Q36" s="1808" t="str">
        <f t="shared" si="11"/>
        <v>成新度</v>
      </c>
      <c r="R36" s="772" t="s">
        <v>17</v>
      </c>
      <c r="S36" s="773">
        <f t="shared" si="12"/>
        <v>100</v>
      </c>
      <c r="T36" s="772" t="s">
        <v>17</v>
      </c>
      <c r="U36" s="773">
        <f t="shared" si="13"/>
        <v>100</v>
      </c>
      <c r="V36" s="772" t="s">
        <v>17</v>
      </c>
      <c r="W36" s="773">
        <f t="shared" si="14"/>
        <v>100</v>
      </c>
      <c r="X36" s="1811"/>
      <c r="Y36" s="3237"/>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35"/>
      <c r="Q37" s="1793" t="str">
        <f t="shared" si="11"/>
        <v>市政基础设施</v>
      </c>
      <c r="R37" s="768" t="s">
        <v>17</v>
      </c>
      <c r="S37" s="769">
        <f t="shared" si="12"/>
        <v>100</v>
      </c>
      <c r="T37" s="768" t="s">
        <v>17</v>
      </c>
      <c r="U37" s="769">
        <f t="shared" si="13"/>
        <v>100</v>
      </c>
      <c r="V37" s="768" t="s">
        <v>17</v>
      </c>
      <c r="W37" s="769">
        <f t="shared" si="14"/>
        <v>96</v>
      </c>
      <c r="X37" s="770"/>
      <c r="Y37" s="3237"/>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35" t="s">
        <v>2566</v>
      </c>
      <c r="Q38" s="1808" t="str">
        <f t="shared" si="11"/>
        <v>业态</v>
      </c>
      <c r="R38" s="772" t="s">
        <v>17</v>
      </c>
      <c r="S38" s="773">
        <f t="shared" si="12"/>
        <v>100</v>
      </c>
      <c r="T38" s="772" t="s">
        <v>17</v>
      </c>
      <c r="U38" s="773">
        <f t="shared" si="13"/>
        <v>100</v>
      </c>
      <c r="V38" s="772" t="s">
        <v>17</v>
      </c>
      <c r="W38" s="773">
        <f t="shared" si="14"/>
        <v>100</v>
      </c>
      <c r="X38" s="1811"/>
      <c r="Y38" s="3237"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35"/>
      <c r="Q39" s="1808" t="str">
        <f t="shared" si="11"/>
        <v>层高</v>
      </c>
      <c r="R39" s="772" t="s">
        <v>17</v>
      </c>
      <c r="S39" s="773">
        <f t="shared" si="12"/>
        <v>100</v>
      </c>
      <c r="T39" s="772" t="s">
        <v>17</v>
      </c>
      <c r="U39" s="773">
        <f t="shared" si="13"/>
        <v>100</v>
      </c>
      <c r="V39" s="772" t="s">
        <v>17</v>
      </c>
      <c r="W39" s="773">
        <f t="shared" si="14"/>
        <v>100</v>
      </c>
      <c r="X39" s="1811"/>
      <c r="Y39" s="3237"/>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5"/>
      <c r="Q40" s="1808" t="str">
        <f t="shared" si="11"/>
        <v>单套建筑面积</v>
      </c>
      <c r="R40" s="772" t="s">
        <v>17</v>
      </c>
      <c r="S40" s="773">
        <f t="shared" si="12"/>
        <v>100</v>
      </c>
      <c r="T40" s="772" t="s">
        <v>17</v>
      </c>
      <c r="U40" s="773">
        <f t="shared" si="13"/>
        <v>100</v>
      </c>
      <c r="V40" s="772" t="s">
        <v>17</v>
      </c>
      <c r="W40" s="773">
        <f t="shared" si="14"/>
        <v>100</v>
      </c>
      <c r="X40" s="1811"/>
      <c r="Y40" s="3237"/>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35"/>
      <c r="Q41" s="774" t="str">
        <f t="shared" si="11"/>
        <v>进深比</v>
      </c>
      <c r="R41" s="775" t="s">
        <v>17</v>
      </c>
      <c r="S41" s="776">
        <f t="shared" si="12"/>
        <v>100</v>
      </c>
      <c r="T41" s="775" t="s">
        <v>17</v>
      </c>
      <c r="U41" s="776">
        <f t="shared" si="13"/>
        <v>100</v>
      </c>
      <c r="V41" s="775" t="s">
        <v>17</v>
      </c>
      <c r="W41" s="776">
        <f t="shared" si="14"/>
        <v>100</v>
      </c>
      <c r="X41" s="777"/>
      <c r="Y41" s="3237"/>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35"/>
      <c r="Q42" s="1808" t="str">
        <f t="shared" si="11"/>
        <v>内部装修</v>
      </c>
      <c r="R42" s="772" t="s">
        <v>17</v>
      </c>
      <c r="S42" s="773">
        <f t="shared" si="12"/>
        <v>102</v>
      </c>
      <c r="T42" s="772" t="s">
        <v>17</v>
      </c>
      <c r="U42" s="773">
        <f t="shared" si="13"/>
        <v>102</v>
      </c>
      <c r="V42" s="772" t="s">
        <v>17</v>
      </c>
      <c r="W42" s="773">
        <f t="shared" si="14"/>
        <v>102</v>
      </c>
      <c r="X42" s="1811"/>
      <c r="Y42" s="3237"/>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35"/>
      <c r="Q43" s="1808" t="str">
        <f t="shared" si="11"/>
        <v>内部装修维护情况</v>
      </c>
      <c r="R43" s="772" t="s">
        <v>17</v>
      </c>
      <c r="S43" s="773">
        <f t="shared" si="12"/>
        <v>100</v>
      </c>
      <c r="T43" s="772" t="s">
        <v>17</v>
      </c>
      <c r="U43" s="773">
        <f t="shared" si="13"/>
        <v>100</v>
      </c>
      <c r="V43" s="772" t="s">
        <v>17</v>
      </c>
      <c r="W43" s="773">
        <f t="shared" si="14"/>
        <v>100</v>
      </c>
      <c r="X43" s="1811"/>
      <c r="Y43" s="3237"/>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5"/>
      <c r="Q44" s="1793">
        <f t="shared" si="11"/>
        <v>111</v>
      </c>
      <c r="R44" s="768" t="s">
        <v>17</v>
      </c>
      <c r="S44" s="769">
        <f t="shared" si="12"/>
        <v>100</v>
      </c>
      <c r="T44" s="768" t="s">
        <v>17</v>
      </c>
      <c r="U44" s="769">
        <f t="shared" si="13"/>
        <v>100</v>
      </c>
      <c r="V44" s="768" t="s">
        <v>17</v>
      </c>
      <c r="W44" s="769">
        <f t="shared" si="14"/>
        <v>100</v>
      </c>
      <c r="X44" s="770"/>
      <c r="Y44" s="3237"/>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5"/>
      <c r="Q45" s="1808">
        <f t="shared" si="11"/>
        <v>111</v>
      </c>
      <c r="R45" s="772" t="s">
        <v>17</v>
      </c>
      <c r="S45" s="773">
        <f t="shared" si="12"/>
        <v>100</v>
      </c>
      <c r="T45" s="772" t="s">
        <v>17</v>
      </c>
      <c r="U45" s="773">
        <f t="shared" si="13"/>
        <v>100</v>
      </c>
      <c r="V45" s="772" t="s">
        <v>17</v>
      </c>
      <c r="W45" s="773">
        <f t="shared" si="14"/>
        <v>100</v>
      </c>
      <c r="X45" s="1811"/>
      <c r="Y45" s="3237"/>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6"/>
      <c r="Q46" s="1808">
        <f t="shared" si="11"/>
        <v>0.93</v>
      </c>
      <c r="R46" s="772" t="s">
        <v>17</v>
      </c>
      <c r="S46" s="773">
        <f t="shared" si="12"/>
        <v>100</v>
      </c>
      <c r="T46" s="772" t="s">
        <v>17</v>
      </c>
      <c r="U46" s="773">
        <f t="shared" si="13"/>
        <v>100</v>
      </c>
      <c r="V46" s="772" t="s">
        <v>17</v>
      </c>
      <c r="W46" s="773">
        <f t="shared" si="14"/>
        <v>100</v>
      </c>
      <c r="X46" s="1811"/>
      <c r="Y46" s="3238"/>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25" t="str">
        <f>A47</f>
        <v>成交单价（元/平方米）</v>
      </c>
      <c r="Q47" s="3225"/>
      <c r="R47" s="3239">
        <f>E47</f>
        <v>28551</v>
      </c>
      <c r="S47" s="3239"/>
      <c r="T47" s="3239">
        <f>G47</f>
        <v>27900</v>
      </c>
      <c r="U47" s="3239"/>
      <c r="V47" s="3239">
        <f>I47</f>
        <v>30690</v>
      </c>
      <c r="W47" s="3239"/>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25" t="str">
        <f>A48</f>
        <v>比较价值（元/平方米）</v>
      </c>
      <c r="Q48" s="3225"/>
      <c r="R48" s="3226">
        <f>IF(F1="售价",ROUND(PRODUCT(R47,AA7:AA46),0),ROUND(PRODUCT(R47,AA7:AA46),1))</f>
        <v>27453</v>
      </c>
      <c r="S48" s="3226"/>
      <c r="T48" s="3226">
        <f>IF(F1="售价",ROUND(PRODUCT(T47,AB7:AB46),0),ROUND(PRODUCT(T47,AB7:AB46),1))</f>
        <v>27945</v>
      </c>
      <c r="U48" s="3226"/>
      <c r="V48" s="3226">
        <f>IF(F1="售价",ROUND(PRODUCT(V47,AC7:AC46),0),ROUND(PRODUCT(V47,AC7:AC46),1))</f>
        <v>30137</v>
      </c>
      <c r="W48" s="3226"/>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27" t="str">
        <f>A49</f>
        <v>估价对象XX用房的比较价值（楼面单价，元/平方米）</v>
      </c>
      <c r="Q49" s="3228"/>
      <c r="R49" s="3229">
        <f>IF(F1="售价",ROUND(AVERAGE(R48:V48),0),ROUND(AVERAGE(R48:V48),1))</f>
        <v>28512</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2" t="s">
        <v>3006</v>
      </c>
      <c r="D1" s="3273"/>
      <c r="E1" s="3273"/>
      <c r="F1" s="3273"/>
      <c r="G1" s="3273"/>
      <c r="H1" s="3273"/>
      <c r="I1" s="3273"/>
      <c r="J1" s="3273"/>
      <c r="K1" s="3273"/>
      <c r="L1" s="3273"/>
      <c r="M1" s="3273"/>
      <c r="N1" s="3273"/>
      <c r="O1" s="3273"/>
      <c r="P1" s="3273"/>
      <c r="Q1" s="3273"/>
      <c r="R1" s="3273"/>
      <c r="S1" s="3274"/>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217" t="s">
        <v>33</v>
      </c>
      <c r="D22" s="3218"/>
      <c r="E22" s="3218"/>
      <c r="F22" s="3218"/>
      <c r="G22" s="3218"/>
      <c r="H22" s="3218"/>
      <c r="I22" s="3218"/>
      <c r="J22" s="3218"/>
      <c r="K22" s="3218"/>
      <c r="L22" s="3218"/>
      <c r="M22" s="3218"/>
      <c r="N22" s="3218"/>
      <c r="O22" s="3218"/>
      <c r="P22" s="3218"/>
      <c r="Q22" s="3271"/>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49" sqref="K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41889</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22469</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2450</v>
      </c>
      <c r="D6" s="164" t="s">
        <v>3030</v>
      </c>
      <c r="E6" s="347" t="s">
        <v>1401</v>
      </c>
      <c r="F6" s="348">
        <f ca="1">INDIRECT("'数据-取费表'!u"&amp;$G$1)</f>
        <v>4</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2951" t="s">
        <v>1402</v>
      </c>
      <c r="F7" s="348">
        <f ca="1">IF(INDIRECT("'数据-取费表'!ah"&amp;$G$1)="",INDIRECT("'数据-取费表'!k"&amp;$G$1),INDIRECT("'数据-取费表'!ah"&amp;$G$1))</f>
        <v>18643.309999999998</v>
      </c>
      <c r="G7" s="1849"/>
      <c r="H7" s="349"/>
      <c r="I7" s="3276"/>
      <c r="J7" s="351"/>
      <c r="K7" s="352"/>
      <c r="L7" s="347" t="s">
        <v>1402</v>
      </c>
      <c r="M7" s="348">
        <f ca="1">F7</f>
        <v>18643.309999999998</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41689</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22361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-54115</v>
      </c>
      <c r="D46" s="1870" t="str">
        <f>C2</f>
        <v>万元</v>
      </c>
      <c r="E46" s="1864"/>
      <c r="F46" s="1864"/>
      <c r="I46" s="1871" t="s">
        <v>1517</v>
      </c>
      <c r="J46" s="1872"/>
      <c r="K46" s="1873"/>
      <c r="L46" s="1874">
        <f ca="1">IF(M47="住宅",0,IF(L48&gt;J51,L60,J60))</f>
        <v>200</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41689</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34.67</v>
      </c>
      <c r="O48" s="1882" t="s">
        <v>1038</v>
      </c>
      <c r="P48" s="1883" t="s">
        <v>1528</v>
      </c>
      <c r="Q48" s="1884">
        <f ca="1">J60</f>
        <v>200</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2019</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0.42199999999999999</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19625</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78" t="s">
        <v>1544</v>
      </c>
      <c r="L53" s="3279"/>
      <c r="O53" s="1882" t="s">
        <v>1043</v>
      </c>
      <c r="P53" s="1883" t="s">
        <v>1545</v>
      </c>
      <c r="Q53" s="1884">
        <f ca="1">Q47+Q48</f>
        <v>41889</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0.42199999999999999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41689</v>
      </c>
      <c r="R56" s="1884" t="s">
        <v>1525</v>
      </c>
    </row>
    <row r="57" spans="1:18" s="1840" customFormat="1" ht="24.75" thickBot="1">
      <c r="A57" s="1916"/>
      <c r="B57" s="1170" t="s">
        <v>1474</v>
      </c>
      <c r="C57" s="282">
        <f ca="1">C29</f>
        <v>8039</v>
      </c>
      <c r="D57" s="1917"/>
      <c r="E57" s="1918"/>
      <c r="F57" s="1919"/>
      <c r="I57" s="1920" t="s">
        <v>1552</v>
      </c>
      <c r="J57" s="1921">
        <f ca="1">IF(OR(M47="住宅",J51&lt;L48,J56="是"),"——",J51-L48)</f>
        <v>25.33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0.42199999999999999</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3392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200</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41689</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41689</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19625</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41689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5" t="s">
        <v>1399</v>
      </c>
      <c r="C6" s="1297">
        <f ca="1">ROUND(F6*F8*F7*(1-F9),0)</f>
        <v>0</v>
      </c>
      <c r="D6" s="164" t="s">
        <v>3027</v>
      </c>
      <c r="E6" s="347" t="s">
        <v>1401</v>
      </c>
      <c r="F6" s="348">
        <f ca="1">INDIRECT("'数据-取费表'!u"&amp;$G$1)</f>
        <v>0</v>
      </c>
      <c r="G6" s="1849"/>
      <c r="H6" s="1292" t="s">
        <v>1032</v>
      </c>
      <c r="I6" s="3275" t="s">
        <v>1399</v>
      </c>
      <c r="J6" s="346">
        <f ca="1">ROUND(M6*M8*M7*(1-M9),0)</f>
        <v>0</v>
      </c>
      <c r="K6" s="1832" t="s">
        <v>3028</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0</v>
      </c>
      <c r="G7" s="1849"/>
      <c r="H7" s="349"/>
      <c r="I7" s="3276"/>
      <c r="J7" s="351"/>
      <c r="K7" s="352"/>
      <c r="L7" s="347" t="s">
        <v>1402</v>
      </c>
      <c r="M7" s="348">
        <f ca="1">F7</f>
        <v>0</v>
      </c>
    </row>
    <row r="8" spans="1:37" ht="18" customHeight="1">
      <c r="A8" s="349"/>
      <c r="B8" s="3276"/>
      <c r="C8" s="351"/>
      <c r="D8" s="352"/>
      <c r="E8" s="347" t="s">
        <v>1403</v>
      </c>
      <c r="F8" s="348">
        <f ca="1">INDIRECT("'数据-取费表'!ai"&amp;$G$1)</f>
        <v>0</v>
      </c>
      <c r="G8" s="1849"/>
      <c r="H8" s="349"/>
      <c r="I8" s="3276"/>
      <c r="J8" s="351"/>
      <c r="K8" s="352"/>
      <c r="L8" s="347" t="s">
        <v>1403</v>
      </c>
      <c r="M8" s="348">
        <f ca="1">INDIRECT("'数据-取费表'!ai"&amp;$G$1)</f>
        <v>0</v>
      </c>
    </row>
    <row r="9" spans="1:37" ht="18" customHeight="1">
      <c r="A9" s="349"/>
      <c r="B9" s="3277"/>
      <c r="C9" s="351"/>
      <c r="D9" s="352"/>
      <c r="E9" s="347" t="s">
        <v>1404</v>
      </c>
      <c r="F9" s="357">
        <f ca="1">INDIRECT("'数据-取费表'!w"&amp;$G$1)</f>
        <v>0</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8" t="s">
        <v>1544</v>
      </c>
      <c r="L53" s="3279"/>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142523</v>
      </c>
      <c r="C2" s="2567" t="s">
        <v>2520</v>
      </c>
      <c r="D2" s="2568" t="s">
        <v>2521</v>
      </c>
      <c r="E2" s="2569">
        <f>SUM(E6:E13)</f>
        <v>66657.509999999995</v>
      </c>
    </row>
    <row r="3" spans="1:6" ht="15.75">
      <c r="A3" s="2565" t="s">
        <v>1391</v>
      </c>
      <c r="B3" s="2566">
        <f ca="1">ROUND(B2*10000/E2,0)</f>
        <v>21381</v>
      </c>
      <c r="C3" s="2567" t="s">
        <v>2528</v>
      </c>
      <c r="D3" s="2570"/>
      <c r="E3" s="2571"/>
    </row>
    <row r="4" spans="1:6" ht="15.75">
      <c r="A4" s="2572"/>
      <c r="B4" s="2570"/>
      <c r="C4" s="2570"/>
      <c r="D4" s="2570"/>
      <c r="E4" s="2571"/>
    </row>
    <row r="5" spans="1:6" ht="15">
      <c r="A5" s="2573" t="s">
        <v>2522</v>
      </c>
      <c r="B5" s="3280" t="s">
        <v>2523</v>
      </c>
      <c r="C5" s="3280"/>
      <c r="D5" s="2574"/>
      <c r="E5" s="2575" t="s">
        <v>2524</v>
      </c>
      <c r="F5" s="2576" t="s">
        <v>2525</v>
      </c>
    </row>
    <row r="6" spans="1:6">
      <c r="A6" s="2577" t="str">
        <f>'数据-取费表'!AN6</f>
        <v>收益法-商业</v>
      </c>
      <c r="B6" s="2576">
        <f ca="1">IF(F6="是",'数据-取费表'!AO6,0)</f>
        <v>41889</v>
      </c>
      <c r="C6" s="2567" t="s">
        <v>2520</v>
      </c>
      <c r="D6" s="2570"/>
      <c r="E6" s="2578">
        <f>IF(OR(A6=0,F6="否"),0,'数据-取费表'!K6+'数据-取费表'!S6)</f>
        <v>18643.309999999998</v>
      </c>
      <c r="F6" s="2579" t="s">
        <v>2526</v>
      </c>
    </row>
    <row r="7" spans="1:6">
      <c r="A7" s="2577" t="str">
        <f>'数据-取费表'!AN7</f>
        <v>收益法</v>
      </c>
      <c r="B7" s="2576">
        <f ca="1">IF(F7="是",'数据-取费表'!AO7,0)</f>
        <v>66616</v>
      </c>
      <c r="C7" s="2567" t="s">
        <v>2520</v>
      </c>
      <c r="D7" s="2570"/>
      <c r="E7" s="2578">
        <f>IF(OR(A7=0,F7="否"),0,'数据-取费表'!K7+'数据-取费表'!S7)</f>
        <v>31807.97</v>
      </c>
      <c r="F7" s="2579" t="s">
        <v>2526</v>
      </c>
    </row>
    <row r="8" spans="1:6">
      <c r="A8" s="2577" t="str">
        <f>'数据-取费表'!AN8</f>
        <v>收益法-公寓</v>
      </c>
      <c r="B8" s="2576">
        <f ca="1">IF(F8="是",'数据-取费表'!AO8,0)</f>
        <v>34018</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1073</v>
      </c>
      <c r="B1" s="3298"/>
      <c r="C1" s="3299"/>
      <c r="D1" s="3300">
        <f>SUM(I10,I15,I20,I21,I23)</f>
        <v>0</v>
      </c>
      <c r="E1" s="3300"/>
      <c r="F1" s="3300"/>
      <c r="G1" s="3300"/>
      <c r="H1" s="3300"/>
      <c r="I1" s="3301"/>
    </row>
    <row r="2" spans="1:9">
      <c r="A2" s="3287" t="s">
        <v>1074</v>
      </c>
      <c r="B2" s="3288" t="s">
        <v>1075</v>
      </c>
      <c r="C2" s="3288"/>
      <c r="D2" s="1302" t="s">
        <v>1076</v>
      </c>
      <c r="E2" s="1302" t="s">
        <v>1077</v>
      </c>
      <c r="F2" s="1302" t="s">
        <v>1078</v>
      </c>
      <c r="G2" s="1302" t="s">
        <v>1079</v>
      </c>
      <c r="H2" s="1302" t="s">
        <v>1080</v>
      </c>
      <c r="I2" s="1303" t="s">
        <v>1081</v>
      </c>
    </row>
    <row r="3" spans="1:9">
      <c r="A3" s="3287"/>
      <c r="B3" s="3288" t="s">
        <v>1082</v>
      </c>
      <c r="C3" s="3288"/>
      <c r="D3" s="1304"/>
      <c r="E3" s="1302"/>
      <c r="F3" s="1305"/>
      <c r="G3" s="1305"/>
      <c r="H3" s="1306"/>
      <c r="I3" s="1307">
        <f>ROUND(D3*E3*F3*G3*H3/10000,0)</f>
        <v>0</v>
      </c>
    </row>
    <row r="4" spans="1:9">
      <c r="A4" s="3287"/>
      <c r="B4" s="3288" t="s">
        <v>1083</v>
      </c>
      <c r="C4" s="3288"/>
      <c r="D4" s="1304"/>
      <c r="E4" s="1302"/>
      <c r="F4" s="1305"/>
      <c r="G4" s="1305"/>
      <c r="H4" s="1306"/>
      <c r="I4" s="1307">
        <f t="shared" ref="I4:I9" si="0">ROUND(D4*E4*F4*G4*H4/10000,0)</f>
        <v>0</v>
      </c>
    </row>
    <row r="5" spans="1:9">
      <c r="A5" s="3287"/>
      <c r="B5" s="3288" t="s">
        <v>1084</v>
      </c>
      <c r="C5" s="3288"/>
      <c r="D5" s="1304"/>
      <c r="E5" s="1302"/>
      <c r="F5" s="1305"/>
      <c r="G5" s="1305"/>
      <c r="H5" s="1306"/>
      <c r="I5" s="1307">
        <f t="shared" si="0"/>
        <v>0</v>
      </c>
    </row>
    <row r="6" spans="1:9">
      <c r="A6" s="3287"/>
      <c r="B6" s="3288" t="s">
        <v>1085</v>
      </c>
      <c r="C6" s="3288"/>
      <c r="D6" s="1304"/>
      <c r="E6" s="1302"/>
      <c r="F6" s="1305"/>
      <c r="G6" s="1305"/>
      <c r="H6" s="1306"/>
      <c r="I6" s="1307">
        <f t="shared" si="0"/>
        <v>0</v>
      </c>
    </row>
    <row r="7" spans="1:9">
      <c r="A7" s="3287"/>
      <c r="B7" s="3288" t="s">
        <v>1086</v>
      </c>
      <c r="C7" s="3288"/>
      <c r="D7" s="1304"/>
      <c r="E7" s="1302"/>
      <c r="F7" s="1305"/>
      <c r="G7" s="1305"/>
      <c r="H7" s="1306"/>
      <c r="I7" s="1307">
        <f t="shared" si="0"/>
        <v>0</v>
      </c>
    </row>
    <row r="8" spans="1:9">
      <c r="A8" s="3287"/>
      <c r="B8" s="3288" t="s">
        <v>1087</v>
      </c>
      <c r="C8" s="3288"/>
      <c r="D8" s="1304"/>
      <c r="E8" s="1302"/>
      <c r="F8" s="1305"/>
      <c r="G8" s="1305"/>
      <c r="H8" s="1306"/>
      <c r="I8" s="1307">
        <f t="shared" si="0"/>
        <v>0</v>
      </c>
    </row>
    <row r="9" spans="1:9">
      <c r="A9" s="3287"/>
      <c r="B9" s="3288" t="s">
        <v>1088</v>
      </c>
      <c r="C9" s="3288"/>
      <c r="D9" s="1304"/>
      <c r="E9" s="1302"/>
      <c r="F9" s="1305"/>
      <c r="G9" s="1305"/>
      <c r="H9" s="1306"/>
      <c r="I9" s="1307">
        <f t="shared" si="0"/>
        <v>0</v>
      </c>
    </row>
    <row r="10" spans="1:9">
      <c r="A10" s="3287"/>
      <c r="B10" s="3289" t="s">
        <v>1089</v>
      </c>
      <c r="C10" s="3289"/>
      <c r="D10" s="1308"/>
      <c r="E10" s="1308" t="e">
        <f>ROUND(D1*10000/D10/H9,0)</f>
        <v>#DIV/0!</v>
      </c>
      <c r="F10" s="1309"/>
      <c r="G10" s="1309"/>
      <c r="H10" s="1310"/>
      <c r="I10" s="1311">
        <f>SUM(I3:I9)</f>
        <v>0</v>
      </c>
    </row>
    <row r="11" spans="1:9" ht="14.25">
      <c r="A11" s="3287" t="s">
        <v>1090</v>
      </c>
      <c r="B11" s="3288" t="s">
        <v>1091</v>
      </c>
      <c r="C11" s="3288"/>
      <c r="D11" s="1304" t="s">
        <v>1092</v>
      </c>
      <c r="E11" s="1304" t="s">
        <v>1093</v>
      </c>
      <c r="F11" s="1305" t="s">
        <v>1094</v>
      </c>
      <c r="G11" s="1305" t="s">
        <v>1080</v>
      </c>
      <c r="H11" s="1312" t="s">
        <v>1095</v>
      </c>
      <c r="I11" s="1303" t="s">
        <v>1081</v>
      </c>
    </row>
    <row r="12" spans="1:9">
      <c r="A12" s="3287"/>
      <c r="B12" s="3288" t="s">
        <v>1096</v>
      </c>
      <c r="C12" s="3288"/>
      <c r="D12" s="1304"/>
      <c r="E12" s="1304"/>
      <c r="F12" s="1305"/>
      <c r="G12" s="1306"/>
      <c r="H12" s="1313"/>
      <c r="I12" s="1303">
        <f>ROUND(D12*E12*F12*G12/10000,0)</f>
        <v>0</v>
      </c>
    </row>
    <row r="13" spans="1:9">
      <c r="A13" s="3287"/>
      <c r="B13" s="3288" t="s">
        <v>1097</v>
      </c>
      <c r="C13" s="3288"/>
      <c r="D13" s="1304"/>
      <c r="E13" s="1304"/>
      <c r="F13" s="1305"/>
      <c r="G13" s="1306"/>
      <c r="H13" s="1313"/>
      <c r="I13" s="1303">
        <f>ROUND(D13*E13*F13*G13/10000,0)</f>
        <v>0</v>
      </c>
    </row>
    <row r="14" spans="1:9">
      <c r="A14" s="3287"/>
      <c r="B14" s="3288" t="s">
        <v>1098</v>
      </c>
      <c r="C14" s="3288"/>
      <c r="D14" s="1304"/>
      <c r="E14" s="1304"/>
      <c r="F14" s="1305"/>
      <c r="G14" s="1306"/>
      <c r="H14" s="1313"/>
      <c r="I14" s="1303">
        <f>ROUND(D14*E14*F14*G14/10000,0)</f>
        <v>0</v>
      </c>
    </row>
    <row r="15" spans="1:9">
      <c r="A15" s="3287"/>
      <c r="B15" s="3289" t="s">
        <v>1089</v>
      </c>
      <c r="C15" s="3289"/>
      <c r="D15" s="1308"/>
      <c r="E15" s="1308">
        <f>SUM(E12:E14)</f>
        <v>0</v>
      </c>
      <c r="F15" s="1309"/>
      <c r="G15" s="1306"/>
      <c r="H15" s="1313"/>
      <c r="I15" s="1314">
        <f>SUM(I12:I14)</f>
        <v>0</v>
      </c>
    </row>
    <row r="16" spans="1:9" ht="24">
      <c r="A16" s="3287" t="s">
        <v>1099</v>
      </c>
      <c r="B16" s="3288" t="s">
        <v>1100</v>
      </c>
      <c r="C16" s="3288"/>
      <c r="D16" s="1304" t="s">
        <v>1076</v>
      </c>
      <c r="E16" s="1315" t="s">
        <v>1101</v>
      </c>
      <c r="F16" s="1305" t="s">
        <v>1102</v>
      </c>
      <c r="G16" s="1306" t="s">
        <v>1080</v>
      </c>
      <c r="H16" s="1312" t="s">
        <v>1095</v>
      </c>
      <c r="I16" s="1303" t="s">
        <v>1081</v>
      </c>
    </row>
    <row r="17" spans="1:9" ht="14.25">
      <c r="A17" s="3287"/>
      <c r="B17" s="3288" t="s">
        <v>1103</v>
      </c>
      <c r="C17" s="3288"/>
      <c r="D17" s="1304"/>
      <c r="E17" s="1304"/>
      <c r="F17" s="1305"/>
      <c r="G17" s="1306"/>
      <c r="H17" s="1316"/>
      <c r="I17" s="1317">
        <f>ROUND(D17*E17*F17*G17/10000,0)</f>
        <v>0</v>
      </c>
    </row>
    <row r="18" spans="1:9" ht="14.25">
      <c r="A18" s="3287"/>
      <c r="B18" s="3288" t="s">
        <v>1104</v>
      </c>
      <c r="C18" s="3288"/>
      <c r="D18" s="1304"/>
      <c r="E18" s="1304"/>
      <c r="F18" s="1305"/>
      <c r="G18" s="1306"/>
      <c r="H18" s="1316"/>
      <c r="I18" s="1317">
        <f>ROUND(D18*E18*F18*G18/10000,0)</f>
        <v>0</v>
      </c>
    </row>
    <row r="19" spans="1:9" ht="14.25">
      <c r="A19" s="3287"/>
      <c r="B19" s="3288" t="s">
        <v>1105</v>
      </c>
      <c r="C19" s="3288"/>
      <c r="D19" s="1304"/>
      <c r="E19" s="1304"/>
      <c r="F19" s="1305"/>
      <c r="G19" s="1306"/>
      <c r="H19" s="1316"/>
      <c r="I19" s="1317">
        <f>ROUND(D19*E19*F19*G19/10000,0)</f>
        <v>0</v>
      </c>
    </row>
    <row r="20" spans="1:9">
      <c r="A20" s="3287"/>
      <c r="B20" s="3289" t="s">
        <v>1089</v>
      </c>
      <c r="C20" s="3289"/>
      <c r="D20" s="1308">
        <f>SUM(D17:D19)</f>
        <v>0</v>
      </c>
      <c r="E20" s="1308"/>
      <c r="F20" s="1309"/>
      <c r="G20" s="1306"/>
      <c r="H20" s="1313"/>
      <c r="I20" s="1314">
        <f>SUM(I17:I19)</f>
        <v>0</v>
      </c>
    </row>
    <row r="21" spans="1:9">
      <c r="A21" s="3287" t="s">
        <v>1106</v>
      </c>
      <c r="B21" s="3290"/>
      <c r="C21" s="3290"/>
      <c r="D21" s="3290"/>
      <c r="E21" s="3290"/>
      <c r="F21" s="3290"/>
      <c r="G21" s="3290"/>
      <c r="H21" s="1763">
        <v>0.1</v>
      </c>
      <c r="I21" s="1311">
        <f>ROUND(I10*H21,0)</f>
        <v>0</v>
      </c>
    </row>
    <row r="22" spans="1:9" ht="14.25">
      <c r="A22" s="3291" t="s">
        <v>1107</v>
      </c>
      <c r="B22" s="3292"/>
      <c r="C22" s="3293"/>
      <c r="D22" s="1318" t="s">
        <v>1108</v>
      </c>
      <c r="E22" s="1318" t="s">
        <v>1109</v>
      </c>
      <c r="F22" s="1319" t="s">
        <v>1110</v>
      </c>
      <c r="G22" s="1319" t="s">
        <v>1111</v>
      </c>
      <c r="H22" s="1312" t="s">
        <v>1112</v>
      </c>
      <c r="I22" s="1303" t="s">
        <v>1113</v>
      </c>
    </row>
    <row r="23" spans="1:9" ht="14.25" thickBot="1">
      <c r="A23" s="3294"/>
      <c r="B23" s="3295"/>
      <c r="C23" s="3296"/>
      <c r="D23" s="1320"/>
      <c r="E23" s="1320"/>
      <c r="F23" s="1320"/>
      <c r="G23" s="1321"/>
      <c r="H23" s="1322"/>
      <c r="I23" s="1323">
        <f>ROUND(E23*D23*F23*(1-G23)/10000,0)</f>
        <v>0</v>
      </c>
    </row>
    <row r="26" spans="1:9">
      <c r="A26" s="1324" t="s">
        <v>1114</v>
      </c>
      <c r="B26" s="1324"/>
      <c r="C26" s="1324"/>
      <c r="D26" s="1324"/>
      <c r="E26" s="3284">
        <f>C27-C30-C31-C32</f>
        <v>0</v>
      </c>
      <c r="F26" s="3284"/>
      <c r="G26" s="3284"/>
      <c r="H26" s="1735" t="s">
        <v>1336</v>
      </c>
    </row>
    <row r="27" spans="1:9">
      <c r="A27" s="1325">
        <v>1</v>
      </c>
      <c r="B27" s="1326" t="s">
        <v>1115</v>
      </c>
      <c r="C27" s="1326">
        <f>C28+C29</f>
        <v>0</v>
      </c>
      <c r="D27" s="1326"/>
      <c r="E27" s="3285"/>
      <c r="F27" s="3285"/>
      <c r="G27" s="3285"/>
    </row>
    <row r="28" spans="1:9">
      <c r="A28" s="1327" t="s">
        <v>1116</v>
      </c>
      <c r="B28" s="1326" t="s">
        <v>1117</v>
      </c>
      <c r="C28" s="1326"/>
      <c r="D28" s="1326"/>
      <c r="E28" s="3285"/>
      <c r="F28" s="3285"/>
      <c r="G28" s="3285"/>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6"/>
      <c r="F32" s="3286"/>
      <c r="G32" s="3286"/>
    </row>
    <row r="33" spans="1:7" hidden="1">
      <c r="A33" s="3281" t="s">
        <v>1126</v>
      </c>
      <c r="B33" s="3282"/>
      <c r="C33" s="3282"/>
      <c r="D33" s="3283"/>
      <c r="E33" s="3284"/>
      <c r="F33" s="3284"/>
      <c r="G33" s="3284"/>
    </row>
    <row r="34" spans="1:7" hidden="1">
      <c r="A34" s="1329">
        <v>1</v>
      </c>
      <c r="B34" s="1326" t="s">
        <v>1127</v>
      </c>
      <c r="C34" s="1326"/>
      <c r="D34" s="1326"/>
      <c r="E34" s="3285"/>
      <c r="F34" s="3285"/>
      <c r="G34" s="3285"/>
    </row>
    <row r="35" spans="1:7" hidden="1">
      <c r="A35" s="1329">
        <v>2</v>
      </c>
      <c r="B35" s="1326" t="s">
        <v>1128</v>
      </c>
      <c r="C35" s="1326"/>
      <c r="D35" s="1326"/>
      <c r="E35" s="3285"/>
      <c r="F35" s="3285"/>
      <c r="G35" s="3285"/>
    </row>
    <row r="36" spans="1:7" hidden="1">
      <c r="A36" s="1329">
        <v>3</v>
      </c>
      <c r="B36" s="1326" t="s">
        <v>1129</v>
      </c>
      <c r="C36" s="1326"/>
      <c r="D36" s="1326"/>
      <c r="E36" s="3285"/>
      <c r="F36" s="3285"/>
      <c r="G36" s="3285"/>
    </row>
    <row r="37" spans="1:7" hidden="1">
      <c r="A37" s="1329">
        <v>4</v>
      </c>
      <c r="B37" s="1326" t="s">
        <v>1130</v>
      </c>
      <c r="C37" s="1326"/>
      <c r="D37" s="1326"/>
      <c r="E37" s="3285"/>
      <c r="F37" s="3285"/>
      <c r="G37" s="3285"/>
    </row>
    <row r="38" spans="1:7" hidden="1">
      <c r="A38" s="3281" t="s">
        <v>1131</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4" t="s">
        <v>2537</v>
      </c>
      <c r="D4" s="3245"/>
      <c r="E4" s="3246" t="s">
        <v>2538</v>
      </c>
      <c r="F4" s="3247"/>
      <c r="G4" s="3244" t="s">
        <v>2539</v>
      </c>
      <c r="H4" s="3245"/>
      <c r="I4" s="3244" t="s">
        <v>2540</v>
      </c>
      <c r="J4" s="3245"/>
      <c r="K4" s="2597" t="s">
        <v>2541</v>
      </c>
      <c r="L4" s="1131"/>
      <c r="M4" s="1132"/>
      <c r="N4" s="1132"/>
      <c r="O4" s="1132"/>
      <c r="P4" s="3248" t="s">
        <v>2542</v>
      </c>
      <c r="Q4" s="3249"/>
      <c r="R4" s="3254" t="s">
        <v>2538</v>
      </c>
      <c r="S4" s="3255"/>
      <c r="T4" s="3254" t="s">
        <v>2539</v>
      </c>
      <c r="U4" s="3255"/>
      <c r="V4" s="3239" t="s">
        <v>2540</v>
      </c>
      <c r="W4" s="3239"/>
      <c r="X4" s="1811"/>
      <c r="Y4" s="3254" t="s">
        <v>2542</v>
      </c>
      <c r="Z4" s="3255"/>
      <c r="AA4" s="3241" t="s">
        <v>2538</v>
      </c>
      <c r="AB4" s="3241" t="s">
        <v>2539</v>
      </c>
      <c r="AC4" s="3241" t="s">
        <v>2540</v>
      </c>
    </row>
    <row r="5" spans="1:29" ht="15">
      <c r="A5" s="404"/>
      <c r="B5" s="405"/>
      <c r="C5" s="3262" t="s">
        <v>2543</v>
      </c>
      <c r="D5" s="3263"/>
      <c r="E5" s="3269" t="s">
        <v>2544</v>
      </c>
      <c r="F5" s="3270"/>
      <c r="G5" s="3262" t="s">
        <v>2545</v>
      </c>
      <c r="H5" s="3263"/>
      <c r="I5" s="3262" t="s">
        <v>2546</v>
      </c>
      <c r="J5" s="3263"/>
      <c r="K5" s="2598"/>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2598"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64" t="s">
        <v>2550</v>
      </c>
      <c r="Q7" s="3266"/>
      <c r="R7" s="768" t="s">
        <v>23</v>
      </c>
      <c r="S7" s="769">
        <f t="shared" ref="S7:S15" si="0">F7</f>
        <v>0</v>
      </c>
      <c r="T7" s="768" t="s">
        <v>23</v>
      </c>
      <c r="U7" s="769">
        <f t="shared" ref="U7:U15" si="1">H7</f>
        <v>0</v>
      </c>
      <c r="V7" s="768" t="s">
        <v>23</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64" t="s">
        <v>2553</v>
      </c>
      <c r="Q8" s="3265"/>
      <c r="R8" s="768" t="s">
        <v>23</v>
      </c>
      <c r="S8" s="769">
        <f t="shared" si="0"/>
        <v>0</v>
      </c>
      <c r="T8" s="768" t="s">
        <v>23</v>
      </c>
      <c r="U8" s="769">
        <f t="shared" si="1"/>
        <v>0</v>
      </c>
      <c r="V8" s="768" t="s">
        <v>23</v>
      </c>
      <c r="W8" s="769">
        <f t="shared" si="2"/>
        <v>0</v>
      </c>
      <c r="X8" s="770"/>
      <c r="Y8" s="3264" t="s">
        <v>2553</v>
      </c>
      <c r="Z8" s="3265"/>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0"/>
      <c r="Q11" s="1793" t="str">
        <f t="shared" si="6"/>
        <v>容积率</v>
      </c>
      <c r="R11" s="768" t="s">
        <v>21</v>
      </c>
      <c r="S11" s="769" t="e">
        <f t="shared" si="0"/>
        <v>#N/A</v>
      </c>
      <c r="T11" s="768" t="s">
        <v>21</v>
      </c>
      <c r="U11" s="769" t="e">
        <f t="shared" si="1"/>
        <v>#N/A</v>
      </c>
      <c r="V11" s="768" t="s">
        <v>21</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0"/>
      <c r="Q12" s="1793">
        <f t="shared" si="6"/>
        <v>111</v>
      </c>
      <c r="R12" s="768" t="s">
        <v>21</v>
      </c>
      <c r="S12" s="769">
        <f t="shared" si="0"/>
        <v>100</v>
      </c>
      <c r="T12" s="768" t="s">
        <v>21</v>
      </c>
      <c r="U12" s="769">
        <f t="shared" si="1"/>
        <v>100</v>
      </c>
      <c r="V12" s="768" t="s">
        <v>21</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0"/>
      <c r="Q13" s="1793">
        <f t="shared" si="6"/>
        <v>111</v>
      </c>
      <c r="R13" s="768" t="s">
        <v>21</v>
      </c>
      <c r="S13" s="769">
        <f t="shared" si="0"/>
        <v>100</v>
      </c>
      <c r="T13" s="768" t="s">
        <v>21</v>
      </c>
      <c r="U13" s="769">
        <f t="shared" si="1"/>
        <v>100</v>
      </c>
      <c r="V13" s="768" t="s">
        <v>21</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0"/>
      <c r="Q14" s="1793">
        <f t="shared" si="6"/>
        <v>111</v>
      </c>
      <c r="R14" s="768" t="s">
        <v>21</v>
      </c>
      <c r="S14" s="769">
        <f t="shared" si="0"/>
        <v>100</v>
      </c>
      <c r="T14" s="768" t="s">
        <v>21</v>
      </c>
      <c r="U14" s="769">
        <f t="shared" si="1"/>
        <v>100</v>
      </c>
      <c r="V14" s="768" t="s">
        <v>21</v>
      </c>
      <c r="W14" s="769">
        <f t="shared" si="2"/>
        <v>100</v>
      </c>
      <c r="X14" s="770"/>
      <c r="Y14" s="3080"/>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0" t="s">
        <v>2561</v>
      </c>
      <c r="Q15" s="1808" t="str">
        <f t="shared" si="6"/>
        <v>居住社区成熟度</v>
      </c>
      <c r="R15" s="772" t="s">
        <v>21</v>
      </c>
      <c r="S15" s="773">
        <f t="shared" si="0"/>
        <v>100</v>
      </c>
      <c r="T15" s="772" t="s">
        <v>21</v>
      </c>
      <c r="U15" s="773">
        <f t="shared" si="1"/>
        <v>100</v>
      </c>
      <c r="V15" s="772" t="s">
        <v>21</v>
      </c>
      <c r="W15" s="773">
        <f t="shared" si="2"/>
        <v>100</v>
      </c>
      <c r="X15" s="1811"/>
      <c r="Y15" s="3232"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31"/>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1"/>
      <c r="Q17" s="1808" t="str">
        <f>B17</f>
        <v>交通便捷度</v>
      </c>
      <c r="R17" s="772" t="s">
        <v>21</v>
      </c>
      <c r="S17" s="773">
        <f>F17</f>
        <v>100</v>
      </c>
      <c r="T17" s="772" t="s">
        <v>21</v>
      </c>
      <c r="U17" s="773">
        <f>H17</f>
        <v>100</v>
      </c>
      <c r="V17" s="772" t="s">
        <v>21</v>
      </c>
      <c r="W17" s="773">
        <f>J17</f>
        <v>100</v>
      </c>
      <c r="X17" s="1811"/>
      <c r="Y17" s="3233"/>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31"/>
      <c r="Q18" s="1808"/>
      <c r="R18" s="772"/>
      <c r="S18" s="773"/>
      <c r="T18" s="772"/>
      <c r="U18" s="773"/>
      <c r="V18" s="772"/>
      <c r="W18" s="773"/>
      <c r="X18" s="1811"/>
      <c r="Y18" s="3233"/>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1"/>
      <c r="Q19" s="1808" t="str">
        <f>B19</f>
        <v>公共配套设施</v>
      </c>
      <c r="R19" s="772" t="s">
        <v>21</v>
      </c>
      <c r="S19" s="773">
        <f>F19</f>
        <v>100</v>
      </c>
      <c r="T19" s="772" t="s">
        <v>21</v>
      </c>
      <c r="U19" s="773">
        <f>H19</f>
        <v>100</v>
      </c>
      <c r="V19" s="772" t="s">
        <v>21</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31"/>
      <c r="Q20" s="1808"/>
      <c r="R20" s="772"/>
      <c r="S20" s="773"/>
      <c r="T20" s="772"/>
      <c r="U20" s="773"/>
      <c r="V20" s="772"/>
      <c r="W20" s="773"/>
      <c r="X20" s="1811"/>
      <c r="Y20" s="3233"/>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31"/>
      <c r="Q22" s="1808"/>
      <c r="R22" s="772"/>
      <c r="S22" s="773"/>
      <c r="T22" s="772"/>
      <c r="U22" s="773"/>
      <c r="V22" s="772"/>
      <c r="W22" s="773"/>
      <c r="X22" s="1811"/>
      <c r="Y22" s="3233"/>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1"/>
      <c r="Q23" s="1808" t="str">
        <f>B23</f>
        <v>自然及人文环境</v>
      </c>
      <c r="R23" s="772" t="s">
        <v>21</v>
      </c>
      <c r="S23" s="773">
        <f>F23</f>
        <v>100</v>
      </c>
      <c r="T23" s="772" t="s">
        <v>21</v>
      </c>
      <c r="U23" s="773">
        <f>H23</f>
        <v>100</v>
      </c>
      <c r="V23" s="772" t="s">
        <v>21</v>
      </c>
      <c r="W23" s="773">
        <f>J23</f>
        <v>100</v>
      </c>
      <c r="X23" s="1811"/>
      <c r="Y23" s="3233"/>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31"/>
      <c r="Q24" s="1808"/>
      <c r="R24" s="772"/>
      <c r="S24" s="773"/>
      <c r="T24" s="772"/>
      <c r="U24" s="773"/>
      <c r="V24" s="772"/>
      <c r="W24" s="773"/>
      <c r="X24" s="1811"/>
      <c r="Y24" s="3233"/>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3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3"/>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31"/>
      <c r="Q26" s="1808" t="str">
        <f t="shared" si="11"/>
        <v>朝向</v>
      </c>
      <c r="R26" s="772" t="s">
        <v>21</v>
      </c>
      <c r="S26" s="773">
        <f t="shared" si="12"/>
        <v>100</v>
      </c>
      <c r="T26" s="772" t="s">
        <v>21</v>
      </c>
      <c r="U26" s="773">
        <f t="shared" si="13"/>
        <v>100</v>
      </c>
      <c r="V26" s="772" t="s">
        <v>21</v>
      </c>
      <c r="W26" s="773">
        <f t="shared" si="14"/>
        <v>100</v>
      </c>
      <c r="X26" s="1811"/>
      <c r="Y26" s="3233"/>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31"/>
      <c r="Q27" s="1793">
        <f t="shared" si="11"/>
        <v>111</v>
      </c>
      <c r="R27" s="768" t="s">
        <v>21</v>
      </c>
      <c r="S27" s="769">
        <f t="shared" si="12"/>
        <v>100</v>
      </c>
      <c r="T27" s="768" t="s">
        <v>21</v>
      </c>
      <c r="U27" s="769">
        <f t="shared" si="13"/>
        <v>100</v>
      </c>
      <c r="V27" s="768" t="s">
        <v>21</v>
      </c>
      <c r="W27" s="769">
        <f t="shared" si="14"/>
        <v>100</v>
      </c>
      <c r="X27" s="770"/>
      <c r="Y27" s="3233"/>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31"/>
      <c r="Q28" s="1808">
        <f t="shared" si="11"/>
        <v>111</v>
      </c>
      <c r="R28" s="772" t="s">
        <v>21</v>
      </c>
      <c r="S28" s="773">
        <f t="shared" si="12"/>
        <v>100</v>
      </c>
      <c r="T28" s="772" t="s">
        <v>21</v>
      </c>
      <c r="U28" s="773">
        <f t="shared" si="13"/>
        <v>100</v>
      </c>
      <c r="V28" s="772" t="s">
        <v>21</v>
      </c>
      <c r="W28" s="773">
        <f t="shared" si="14"/>
        <v>100</v>
      </c>
      <c r="X28" s="1811"/>
      <c r="Y28" s="3233"/>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31"/>
      <c r="Q29" s="1808">
        <f t="shared" si="11"/>
        <v>111</v>
      </c>
      <c r="R29" s="772" t="s">
        <v>21</v>
      </c>
      <c r="S29" s="773">
        <f t="shared" si="12"/>
        <v>100</v>
      </c>
      <c r="T29" s="772" t="s">
        <v>21</v>
      </c>
      <c r="U29" s="773">
        <f t="shared" si="13"/>
        <v>100</v>
      </c>
      <c r="V29" s="772" t="s">
        <v>21</v>
      </c>
      <c r="W29" s="773">
        <f t="shared" si="14"/>
        <v>100</v>
      </c>
      <c r="X29" s="1811"/>
      <c r="Y29" s="3233"/>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31"/>
      <c r="Q30" s="1808">
        <f t="shared" si="11"/>
        <v>111</v>
      </c>
      <c r="R30" s="772" t="s">
        <v>21</v>
      </c>
      <c r="S30" s="773">
        <f t="shared" si="12"/>
        <v>100</v>
      </c>
      <c r="T30" s="772" t="s">
        <v>21</v>
      </c>
      <c r="U30" s="773">
        <f t="shared" si="13"/>
        <v>100</v>
      </c>
      <c r="V30" s="772" t="s">
        <v>21</v>
      </c>
      <c r="W30" s="773">
        <f t="shared" si="14"/>
        <v>100</v>
      </c>
      <c r="X30" s="1811"/>
      <c r="Y30" s="3233"/>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31"/>
      <c r="Q31" s="1808">
        <f t="shared" si="11"/>
        <v>111</v>
      </c>
      <c r="R31" s="772" t="s">
        <v>21</v>
      </c>
      <c r="S31" s="773">
        <f t="shared" si="12"/>
        <v>100</v>
      </c>
      <c r="T31" s="772" t="s">
        <v>21</v>
      </c>
      <c r="U31" s="773">
        <f t="shared" si="13"/>
        <v>100</v>
      </c>
      <c r="V31" s="772" t="s">
        <v>21</v>
      </c>
      <c r="W31" s="773">
        <f t="shared" si="14"/>
        <v>100</v>
      </c>
      <c r="X31" s="1811"/>
      <c r="Y31" s="3233"/>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34" t="s">
        <v>2566</v>
      </c>
      <c r="Q32" s="1808" t="str">
        <f t="shared" si="11"/>
        <v>建筑类型</v>
      </c>
      <c r="R32" s="772" t="s">
        <v>21</v>
      </c>
      <c r="S32" s="773">
        <f t="shared" si="12"/>
        <v>100</v>
      </c>
      <c r="T32" s="772" t="s">
        <v>21</v>
      </c>
      <c r="U32" s="773">
        <f t="shared" si="13"/>
        <v>100</v>
      </c>
      <c r="V32" s="772" t="s">
        <v>21</v>
      </c>
      <c r="W32" s="773">
        <f t="shared" si="14"/>
        <v>100</v>
      </c>
      <c r="X32" s="1811"/>
      <c r="Y32" s="3237"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35"/>
      <c r="Q33" s="774" t="str">
        <f t="shared" si="11"/>
        <v>项目建筑规模</v>
      </c>
      <c r="R33" s="775" t="s">
        <v>21</v>
      </c>
      <c r="S33" s="776" t="e">
        <f t="shared" si="12"/>
        <v>#N/A</v>
      </c>
      <c r="T33" s="775" t="s">
        <v>21</v>
      </c>
      <c r="U33" s="776" t="e">
        <f t="shared" si="13"/>
        <v>#N/A</v>
      </c>
      <c r="V33" s="775" t="s">
        <v>21</v>
      </c>
      <c r="W33" s="776" t="e">
        <f t="shared" si="14"/>
        <v>#N/A</v>
      </c>
      <c r="X33" s="777"/>
      <c r="Y33" s="3237"/>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35"/>
      <c r="Q34" s="1808" t="str">
        <f t="shared" si="11"/>
        <v>建筑结构</v>
      </c>
      <c r="R34" s="772" t="s">
        <v>21</v>
      </c>
      <c r="S34" s="773">
        <f t="shared" si="12"/>
        <v>100</v>
      </c>
      <c r="T34" s="772" t="s">
        <v>21</v>
      </c>
      <c r="U34" s="773">
        <f t="shared" si="13"/>
        <v>100</v>
      </c>
      <c r="V34" s="772" t="s">
        <v>21</v>
      </c>
      <c r="W34" s="773">
        <f t="shared" si="14"/>
        <v>100</v>
      </c>
      <c r="X34" s="1811"/>
      <c r="Y34" s="3237"/>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35"/>
      <c r="Q35" s="1808" t="str">
        <f t="shared" si="11"/>
        <v>建筑品质</v>
      </c>
      <c r="R35" s="772" t="s">
        <v>21</v>
      </c>
      <c r="S35" s="773">
        <f t="shared" si="12"/>
        <v>100</v>
      </c>
      <c r="T35" s="772" t="s">
        <v>21</v>
      </c>
      <c r="U35" s="773">
        <f t="shared" si="13"/>
        <v>100</v>
      </c>
      <c r="V35" s="772" t="s">
        <v>21</v>
      </c>
      <c r="W35" s="773">
        <f t="shared" si="14"/>
        <v>100</v>
      </c>
      <c r="X35" s="1811"/>
      <c r="Y35" s="3237"/>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35"/>
      <c r="Q36" s="1808" t="str">
        <f t="shared" si="11"/>
        <v>公共部分装修</v>
      </c>
      <c r="R36" s="772" t="s">
        <v>21</v>
      </c>
      <c r="S36" s="773">
        <f t="shared" si="12"/>
        <v>100</v>
      </c>
      <c r="T36" s="772" t="s">
        <v>21</v>
      </c>
      <c r="U36" s="773">
        <f t="shared" si="13"/>
        <v>100</v>
      </c>
      <c r="V36" s="772" t="s">
        <v>21</v>
      </c>
      <c r="W36" s="773">
        <f t="shared" si="14"/>
        <v>100</v>
      </c>
      <c r="X36" s="1811"/>
      <c r="Y36" s="3237"/>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5"/>
      <c r="Q37" s="1793" t="str">
        <f t="shared" si="11"/>
        <v>成新度</v>
      </c>
      <c r="R37" s="768" t="s">
        <v>21</v>
      </c>
      <c r="S37" s="769" t="e">
        <f t="shared" si="12"/>
        <v>#N/A</v>
      </c>
      <c r="T37" s="768" t="s">
        <v>21</v>
      </c>
      <c r="U37" s="769" t="e">
        <f t="shared" si="13"/>
        <v>#N/A</v>
      </c>
      <c r="V37" s="768" t="s">
        <v>21</v>
      </c>
      <c r="W37" s="769" t="e">
        <f t="shared" si="14"/>
        <v>#N/A</v>
      </c>
      <c r="X37" s="770"/>
      <c r="Y37" s="3237"/>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35" t="s">
        <v>2566</v>
      </c>
      <c r="Q38" s="1808" t="str">
        <f t="shared" si="11"/>
        <v>物业管理</v>
      </c>
      <c r="R38" s="772" t="s">
        <v>21</v>
      </c>
      <c r="S38" s="773">
        <f t="shared" si="12"/>
        <v>100</v>
      </c>
      <c r="T38" s="772" t="s">
        <v>21</v>
      </c>
      <c r="U38" s="773">
        <f t="shared" si="13"/>
        <v>100</v>
      </c>
      <c r="V38" s="772" t="s">
        <v>21</v>
      </c>
      <c r="W38" s="773">
        <f t="shared" si="14"/>
        <v>100</v>
      </c>
      <c r="X38" s="1811"/>
      <c r="Y38" s="3237"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35"/>
      <c r="Q39" s="1808" t="str">
        <f t="shared" si="11"/>
        <v>市政基础设施</v>
      </c>
      <c r="R39" s="772" t="s">
        <v>21</v>
      </c>
      <c r="S39" s="773">
        <f t="shared" si="12"/>
        <v>100</v>
      </c>
      <c r="T39" s="772" t="s">
        <v>21</v>
      </c>
      <c r="U39" s="773">
        <f t="shared" si="13"/>
        <v>100</v>
      </c>
      <c r="V39" s="772" t="s">
        <v>21</v>
      </c>
      <c r="W39" s="773">
        <f t="shared" si="14"/>
        <v>100</v>
      </c>
      <c r="X39" s="1811"/>
      <c r="Y39" s="3237"/>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35"/>
      <c r="Q40" s="1808" t="str">
        <f t="shared" si="11"/>
        <v>房型</v>
      </c>
      <c r="R40" s="772" t="s">
        <v>21</v>
      </c>
      <c r="S40" s="773">
        <f t="shared" si="12"/>
        <v>100</v>
      </c>
      <c r="T40" s="772" t="s">
        <v>21</v>
      </c>
      <c r="U40" s="773">
        <f t="shared" si="13"/>
        <v>100</v>
      </c>
      <c r="V40" s="772" t="s">
        <v>21</v>
      </c>
      <c r="W40" s="773">
        <f t="shared" si="14"/>
        <v>100</v>
      </c>
      <c r="X40" s="1811"/>
      <c r="Y40" s="3237"/>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35"/>
      <c r="Q41" s="774" t="str">
        <f t="shared" si="11"/>
        <v>单套/主力户型建筑面积</v>
      </c>
      <c r="R41" s="775" t="s">
        <v>21</v>
      </c>
      <c r="S41" s="776">
        <f t="shared" si="12"/>
        <v>100</v>
      </c>
      <c r="T41" s="775" t="s">
        <v>21</v>
      </c>
      <c r="U41" s="776">
        <f t="shared" si="13"/>
        <v>100</v>
      </c>
      <c r="V41" s="775" t="s">
        <v>21</v>
      </c>
      <c r="W41" s="776">
        <f t="shared" si="14"/>
        <v>100</v>
      </c>
      <c r="X41" s="777"/>
      <c r="Y41" s="3237"/>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35"/>
      <c r="Q42" s="1808" t="str">
        <f t="shared" si="11"/>
        <v>内部装修</v>
      </c>
      <c r="R42" s="772" t="s">
        <v>21</v>
      </c>
      <c r="S42" s="773">
        <f t="shared" si="12"/>
        <v>100</v>
      </c>
      <c r="T42" s="772" t="s">
        <v>21</v>
      </c>
      <c r="U42" s="773">
        <f t="shared" si="13"/>
        <v>100</v>
      </c>
      <c r="V42" s="772" t="s">
        <v>21</v>
      </c>
      <c r="W42" s="773">
        <f t="shared" si="14"/>
        <v>100</v>
      </c>
      <c r="X42" s="1811"/>
      <c r="Y42" s="3237"/>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35"/>
      <c r="Q43" s="1808" t="str">
        <f t="shared" si="11"/>
        <v>内部装修维护情况</v>
      </c>
      <c r="R43" s="772" t="s">
        <v>21</v>
      </c>
      <c r="S43" s="773">
        <f t="shared" si="12"/>
        <v>100</v>
      </c>
      <c r="T43" s="772" t="s">
        <v>21</v>
      </c>
      <c r="U43" s="773">
        <f t="shared" si="13"/>
        <v>100</v>
      </c>
      <c r="V43" s="772" t="s">
        <v>21</v>
      </c>
      <c r="W43" s="773">
        <f t="shared" si="14"/>
        <v>100</v>
      </c>
      <c r="X43" s="1811"/>
      <c r="Y43" s="3237"/>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35"/>
      <c r="Q44" s="1793">
        <f t="shared" si="11"/>
        <v>111</v>
      </c>
      <c r="R44" s="768" t="s">
        <v>21</v>
      </c>
      <c r="S44" s="769">
        <f t="shared" si="12"/>
        <v>100</v>
      </c>
      <c r="T44" s="768" t="s">
        <v>21</v>
      </c>
      <c r="U44" s="769">
        <f t="shared" si="13"/>
        <v>100</v>
      </c>
      <c r="V44" s="768" t="s">
        <v>21</v>
      </c>
      <c r="W44" s="769">
        <f t="shared" si="14"/>
        <v>100</v>
      </c>
      <c r="X44" s="770"/>
      <c r="Y44" s="3237"/>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35"/>
      <c r="Q45" s="1808">
        <f t="shared" si="11"/>
        <v>111</v>
      </c>
      <c r="R45" s="772" t="s">
        <v>21</v>
      </c>
      <c r="S45" s="773">
        <f t="shared" si="12"/>
        <v>100</v>
      </c>
      <c r="T45" s="772" t="s">
        <v>21</v>
      </c>
      <c r="U45" s="773">
        <f t="shared" si="13"/>
        <v>100</v>
      </c>
      <c r="V45" s="772" t="s">
        <v>21</v>
      </c>
      <c r="W45" s="773">
        <f t="shared" si="14"/>
        <v>100</v>
      </c>
      <c r="X45" s="1811"/>
      <c r="Y45" s="3237"/>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36"/>
      <c r="Q46" s="1808">
        <f t="shared" si="11"/>
        <v>111</v>
      </c>
      <c r="R46" s="772" t="s">
        <v>20</v>
      </c>
      <c r="S46" s="773">
        <f t="shared" si="12"/>
        <v>100</v>
      </c>
      <c r="T46" s="772" t="s">
        <v>20</v>
      </c>
      <c r="U46" s="773">
        <f t="shared" si="13"/>
        <v>100</v>
      </c>
      <c r="V46" s="772" t="s">
        <v>20</v>
      </c>
      <c r="W46" s="773">
        <f t="shared" si="14"/>
        <v>100</v>
      </c>
      <c r="X46" s="1811"/>
      <c r="Y46" s="3238"/>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25" t="str">
        <f>A47</f>
        <v>成交单价（元/平方米）</v>
      </c>
      <c r="Q47" s="3225"/>
      <c r="R47" s="3226">
        <f>E47</f>
        <v>0</v>
      </c>
      <c r="S47" s="3226"/>
      <c r="T47" s="3226">
        <f>G47</f>
        <v>0</v>
      </c>
      <c r="U47" s="3226"/>
      <c r="V47" s="3226">
        <f>I47</f>
        <v>0</v>
      </c>
      <c r="W47" s="3226"/>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308" t="s">
        <v>2652</v>
      </c>
      <c r="Q4" s="3309"/>
      <c r="R4" s="3312" t="s">
        <v>2648</v>
      </c>
      <c r="S4" s="3313"/>
      <c r="T4" s="3312" t="s">
        <v>2649</v>
      </c>
      <c r="U4" s="3313"/>
      <c r="V4" s="3314" t="s">
        <v>2650</v>
      </c>
      <c r="W4" s="3314"/>
      <c r="X4" s="2671"/>
      <c r="Y4" s="3312" t="s">
        <v>2652</v>
      </c>
      <c r="Z4" s="3313"/>
      <c r="AA4" s="3316" t="s">
        <v>2648</v>
      </c>
      <c r="AB4" s="3316" t="s">
        <v>2649</v>
      </c>
      <c r="AC4" s="3305" t="s">
        <v>2650</v>
      </c>
    </row>
    <row r="5" spans="1:29" ht="15">
      <c r="A5" s="404"/>
      <c r="B5" s="405"/>
      <c r="C5" s="3262" t="s">
        <v>2543</v>
      </c>
      <c r="D5" s="3263"/>
      <c r="E5" s="3269" t="str">
        <f>Sheet3!A26</f>
        <v>高教综合大楼</v>
      </c>
      <c r="F5" s="3270"/>
      <c r="G5" s="3262" t="str">
        <f>Sheet3!A27</f>
        <v>青年创业大厦</v>
      </c>
      <c r="H5" s="3263"/>
      <c r="I5" s="3262" t="str">
        <f>Sheet3!A28</f>
        <v>珠江摩派</v>
      </c>
      <c r="J5" s="3263"/>
      <c r="K5" s="610"/>
      <c r="L5" s="1131"/>
      <c r="M5" s="1132"/>
      <c r="N5" s="1132"/>
      <c r="O5" s="1132"/>
      <c r="P5" s="3310"/>
      <c r="Q5" s="3251"/>
      <c r="R5" s="3256"/>
      <c r="S5" s="3257"/>
      <c r="T5" s="3256"/>
      <c r="U5" s="3257"/>
      <c r="V5" s="3239"/>
      <c r="W5" s="3239"/>
      <c r="X5" s="1811"/>
      <c r="Y5" s="3256"/>
      <c r="Z5" s="3257"/>
      <c r="AA5" s="3242"/>
      <c r="AB5" s="3242"/>
      <c r="AC5" s="3306"/>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311"/>
      <c r="Q6" s="3253"/>
      <c r="R6" s="3256"/>
      <c r="S6" s="3257"/>
      <c r="T6" s="3258"/>
      <c r="U6" s="3259"/>
      <c r="V6" s="3239"/>
      <c r="W6" s="3239"/>
      <c r="X6" s="1811"/>
      <c r="Y6" s="3258"/>
      <c r="Z6" s="3259"/>
      <c r="AA6" s="3243"/>
      <c r="AB6" s="3243"/>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5"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5" t="s">
        <v>2553</v>
      </c>
      <c r="Q8" s="3265"/>
      <c r="R8" s="768" t="s">
        <v>17</v>
      </c>
      <c r="S8" s="769">
        <f t="shared" si="0"/>
        <v>100</v>
      </c>
      <c r="T8" s="768" t="s">
        <v>17</v>
      </c>
      <c r="U8" s="769">
        <f t="shared" si="1"/>
        <v>100</v>
      </c>
      <c r="V8" s="768" t="s">
        <v>17</v>
      </c>
      <c r="W8" s="769">
        <f t="shared" si="2"/>
        <v>100</v>
      </c>
      <c r="X8" s="770"/>
      <c r="Y8" s="3264" t="s">
        <v>2553</v>
      </c>
      <c r="Z8" s="3265"/>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0"/>
      <c r="Q11" s="1793"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0"/>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0"/>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0"/>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0" t="s">
        <v>2561</v>
      </c>
      <c r="Q15" s="1808" t="str">
        <f t="shared" si="6"/>
        <v>办公集聚程度</v>
      </c>
      <c r="R15" s="772" t="s">
        <v>17</v>
      </c>
      <c r="S15" s="773">
        <f t="shared" si="0"/>
        <v>100</v>
      </c>
      <c r="T15" s="772" t="s">
        <v>17</v>
      </c>
      <c r="U15" s="773">
        <f t="shared" si="1"/>
        <v>100</v>
      </c>
      <c r="V15" s="772" t="s">
        <v>17</v>
      </c>
      <c r="W15" s="773">
        <f t="shared" si="2"/>
        <v>102</v>
      </c>
      <c r="X15" s="1811"/>
      <c r="Y15" s="3232"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1"/>
      <c r="Q16" s="1808"/>
      <c r="R16" s="772"/>
      <c r="S16" s="773"/>
      <c r="T16" s="772"/>
      <c r="U16" s="773"/>
      <c r="V16" s="772"/>
      <c r="W16" s="773"/>
      <c r="X16" s="1811"/>
      <c r="Y16" s="3233"/>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1"/>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1"/>
      <c r="Q18" s="1808"/>
      <c r="R18" s="772"/>
      <c r="S18" s="773"/>
      <c r="T18" s="772"/>
      <c r="U18" s="773"/>
      <c r="V18" s="772"/>
      <c r="W18" s="773"/>
      <c r="X18" s="1811"/>
      <c r="Y18" s="3233"/>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1"/>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1"/>
      <c r="Q20" s="1808"/>
      <c r="R20" s="772"/>
      <c r="S20" s="773"/>
      <c r="T20" s="772"/>
      <c r="U20" s="773"/>
      <c r="V20" s="772"/>
      <c r="W20" s="773"/>
      <c r="X20" s="1811"/>
      <c r="Y20" s="3233"/>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1"/>
      <c r="Q22" s="1808"/>
      <c r="R22" s="772"/>
      <c r="S22" s="773"/>
      <c r="T22" s="772"/>
      <c r="U22" s="773"/>
      <c r="V22" s="772"/>
      <c r="W22" s="773"/>
      <c r="X22" s="1811"/>
      <c r="Y22" s="3233"/>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1"/>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1"/>
      <c r="Q24" s="1808"/>
      <c r="R24" s="772"/>
      <c r="S24" s="773"/>
      <c r="T24" s="772"/>
      <c r="U24" s="773"/>
      <c r="V24" s="772"/>
      <c r="W24" s="773"/>
      <c r="X24" s="1811"/>
      <c r="Y24" s="3233"/>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1"/>
      <c r="Q25" s="1808" t="str">
        <f>B25</f>
        <v>毗邻道路的类型与等级</v>
      </c>
      <c r="R25" s="772" t="s">
        <v>17</v>
      </c>
      <c r="S25" s="773">
        <f>F25</f>
        <v>94</v>
      </c>
      <c r="T25" s="772" t="s">
        <v>17</v>
      </c>
      <c r="U25" s="773">
        <f>H25</f>
        <v>94</v>
      </c>
      <c r="V25" s="772" t="s">
        <v>17</v>
      </c>
      <c r="W25" s="773">
        <f>J25</f>
        <v>100</v>
      </c>
      <c r="X25" s="1811"/>
      <c r="Y25" s="3233"/>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1"/>
      <c r="Q26" s="1808"/>
      <c r="R26" s="772"/>
      <c r="S26" s="773"/>
      <c r="T26" s="772"/>
      <c r="U26" s="773"/>
      <c r="V26" s="772"/>
      <c r="W26" s="773"/>
      <c r="X26" s="1811"/>
      <c r="Y26" s="3233"/>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31"/>
      <c r="Q27" s="1808" t="str">
        <f t="shared" ref="Q27:Q47" si="11">B27</f>
        <v>楼层</v>
      </c>
      <c r="R27" s="772" t="s">
        <v>17</v>
      </c>
      <c r="S27" s="773">
        <f>F27</f>
        <v>105</v>
      </c>
      <c r="T27" s="772" t="s">
        <v>17</v>
      </c>
      <c r="U27" s="773">
        <f>H27</f>
        <v>100</v>
      </c>
      <c r="V27" s="772" t="s">
        <v>17</v>
      </c>
      <c r="W27" s="773">
        <f>J27</f>
        <v>105</v>
      </c>
      <c r="X27" s="1811"/>
      <c r="Y27" s="3233"/>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1"/>
      <c r="Q28" s="1793" t="str">
        <f t="shared" si="11"/>
        <v>朝向</v>
      </c>
      <c r="R28" s="768" t="s">
        <v>17</v>
      </c>
      <c r="S28" s="769">
        <f>F28</f>
        <v>100</v>
      </c>
      <c r="T28" s="768" t="s">
        <v>17</v>
      </c>
      <c r="U28" s="769">
        <f>H28</f>
        <v>100</v>
      </c>
      <c r="V28" s="768" t="s">
        <v>17</v>
      </c>
      <c r="W28" s="769">
        <f>J28</f>
        <v>100</v>
      </c>
      <c r="X28" s="770"/>
      <c r="Y28" s="3233"/>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1"/>
      <c r="Q29" s="1808">
        <f t="shared" si="11"/>
        <v>111</v>
      </c>
      <c r="R29" s="772" t="s">
        <v>17</v>
      </c>
      <c r="S29" s="773">
        <f t="shared" ref="S29:S47" si="12">F29</f>
        <v>100</v>
      </c>
      <c r="T29" s="772" t="s">
        <v>17</v>
      </c>
      <c r="U29" s="773">
        <f t="shared" ref="U29:U47" si="13">H29</f>
        <v>100</v>
      </c>
      <c r="V29" s="772" t="s">
        <v>17</v>
      </c>
      <c r="W29" s="773">
        <f t="shared" ref="W29:W47" si="14">J29</f>
        <v>100</v>
      </c>
      <c r="X29" s="1811"/>
      <c r="Y29" s="3233"/>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1"/>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1"/>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1"/>
      <c r="Q32" s="1808">
        <f t="shared" si="11"/>
        <v>111</v>
      </c>
      <c r="R32" s="772" t="s">
        <v>17</v>
      </c>
      <c r="S32" s="773">
        <f t="shared" si="12"/>
        <v>100</v>
      </c>
      <c r="T32" s="772" t="s">
        <v>17</v>
      </c>
      <c r="U32" s="773">
        <f t="shared" si="13"/>
        <v>100</v>
      </c>
      <c r="V32" s="772" t="s">
        <v>17</v>
      </c>
      <c r="W32" s="773">
        <f t="shared" si="14"/>
        <v>100</v>
      </c>
      <c r="X32" s="1811"/>
      <c r="Y32" s="3233"/>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4" t="s">
        <v>2566</v>
      </c>
      <c r="Q33" s="1808" t="str">
        <f t="shared" si="11"/>
        <v>建筑类型</v>
      </c>
      <c r="R33" s="772" t="s">
        <v>17</v>
      </c>
      <c r="S33" s="773">
        <f t="shared" si="12"/>
        <v>100</v>
      </c>
      <c r="T33" s="772" t="s">
        <v>17</v>
      </c>
      <c r="U33" s="773">
        <f t="shared" si="13"/>
        <v>100</v>
      </c>
      <c r="V33" s="772" t="s">
        <v>17</v>
      </c>
      <c r="W33" s="773">
        <f t="shared" si="14"/>
        <v>100</v>
      </c>
      <c r="X33" s="1811"/>
      <c r="Y33" s="3237"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5"/>
      <c r="Q34" s="774" t="str">
        <f t="shared" si="11"/>
        <v>项目建筑规模</v>
      </c>
      <c r="R34" s="775" t="s">
        <v>17</v>
      </c>
      <c r="S34" s="776">
        <f t="shared" si="12"/>
        <v>102</v>
      </c>
      <c r="T34" s="775" t="s">
        <v>17</v>
      </c>
      <c r="U34" s="776">
        <f t="shared" si="13"/>
        <v>98</v>
      </c>
      <c r="V34" s="775" t="s">
        <v>17</v>
      </c>
      <c r="W34" s="776">
        <f t="shared" si="14"/>
        <v>98</v>
      </c>
      <c r="X34" s="777"/>
      <c r="Y34" s="3237"/>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5"/>
      <c r="Q35" s="1808" t="str">
        <f t="shared" si="11"/>
        <v>建筑结构</v>
      </c>
      <c r="R35" s="772" t="s">
        <v>17</v>
      </c>
      <c r="S35" s="773">
        <f t="shared" si="12"/>
        <v>100</v>
      </c>
      <c r="T35" s="772" t="s">
        <v>17</v>
      </c>
      <c r="U35" s="773">
        <f t="shared" si="13"/>
        <v>100</v>
      </c>
      <c r="V35" s="772" t="s">
        <v>17</v>
      </c>
      <c r="W35" s="773">
        <f t="shared" si="14"/>
        <v>100</v>
      </c>
      <c r="X35" s="1811"/>
      <c r="Y35" s="3237"/>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5"/>
      <c r="Q36" s="1808" t="str">
        <f t="shared" si="11"/>
        <v>公共部分装修</v>
      </c>
      <c r="R36" s="772" t="s">
        <v>17</v>
      </c>
      <c r="S36" s="773">
        <f t="shared" si="12"/>
        <v>100</v>
      </c>
      <c r="T36" s="772" t="s">
        <v>17</v>
      </c>
      <c r="U36" s="773">
        <f t="shared" si="13"/>
        <v>100</v>
      </c>
      <c r="V36" s="772" t="s">
        <v>17</v>
      </c>
      <c r="W36" s="773">
        <f t="shared" si="14"/>
        <v>100</v>
      </c>
      <c r="X36" s="1811"/>
      <c r="Y36" s="3237"/>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5"/>
      <c r="Q37" s="1808" t="str">
        <f t="shared" si="11"/>
        <v>成新度</v>
      </c>
      <c r="R37" s="772" t="s">
        <v>17</v>
      </c>
      <c r="S37" s="773">
        <f t="shared" si="12"/>
        <v>100</v>
      </c>
      <c r="T37" s="772" t="s">
        <v>17</v>
      </c>
      <c r="U37" s="773">
        <f t="shared" si="13"/>
        <v>100</v>
      </c>
      <c r="V37" s="772" t="s">
        <v>17</v>
      </c>
      <c r="W37" s="773">
        <f t="shared" si="14"/>
        <v>100</v>
      </c>
      <c r="X37" s="1811"/>
      <c r="Y37" s="3237"/>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5"/>
      <c r="Q38" s="1793" t="str">
        <f t="shared" si="11"/>
        <v>写字楼等级</v>
      </c>
      <c r="R38" s="768" t="s">
        <v>17</v>
      </c>
      <c r="S38" s="769">
        <f t="shared" si="12"/>
        <v>100</v>
      </c>
      <c r="T38" s="768" t="s">
        <v>17</v>
      </c>
      <c r="U38" s="769">
        <f t="shared" si="13"/>
        <v>100</v>
      </c>
      <c r="V38" s="768" t="s">
        <v>17</v>
      </c>
      <c r="W38" s="769">
        <f t="shared" si="14"/>
        <v>100</v>
      </c>
      <c r="X38" s="770"/>
      <c r="Y38" s="3237"/>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5" t="s">
        <v>2566</v>
      </c>
      <c r="Q39" s="1808" t="str">
        <f t="shared" si="11"/>
        <v>物业管理</v>
      </c>
      <c r="R39" s="772" t="s">
        <v>17</v>
      </c>
      <c r="S39" s="773">
        <f t="shared" si="12"/>
        <v>100</v>
      </c>
      <c r="T39" s="772" t="s">
        <v>17</v>
      </c>
      <c r="U39" s="773">
        <f t="shared" si="13"/>
        <v>100</v>
      </c>
      <c r="V39" s="772" t="s">
        <v>17</v>
      </c>
      <c r="W39" s="773">
        <f t="shared" si="14"/>
        <v>100</v>
      </c>
      <c r="X39" s="1811"/>
      <c r="Y39" s="3237"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5"/>
      <c r="Q40" s="1808" t="str">
        <f t="shared" si="11"/>
        <v>市政基础设施</v>
      </c>
      <c r="R40" s="772" t="s">
        <v>17</v>
      </c>
      <c r="S40" s="773">
        <f t="shared" si="12"/>
        <v>96</v>
      </c>
      <c r="T40" s="772" t="s">
        <v>17</v>
      </c>
      <c r="U40" s="773">
        <f t="shared" si="13"/>
        <v>96</v>
      </c>
      <c r="V40" s="772" t="s">
        <v>17</v>
      </c>
      <c r="W40" s="773">
        <f t="shared" si="14"/>
        <v>96</v>
      </c>
      <c r="X40" s="1811"/>
      <c r="Y40" s="3237"/>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5"/>
      <c r="Q41" s="1808" t="str">
        <f t="shared" si="11"/>
        <v>层高</v>
      </c>
      <c r="R41" s="772" t="s">
        <v>17</v>
      </c>
      <c r="S41" s="773">
        <f t="shared" si="12"/>
        <v>100</v>
      </c>
      <c r="T41" s="772" t="s">
        <v>17</v>
      </c>
      <c r="U41" s="773">
        <f t="shared" si="13"/>
        <v>100</v>
      </c>
      <c r="V41" s="772" t="s">
        <v>17</v>
      </c>
      <c r="W41" s="773">
        <f t="shared" si="14"/>
        <v>100</v>
      </c>
      <c r="X41" s="1811"/>
      <c r="Y41" s="3237"/>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35"/>
      <c r="Q43" s="1808" t="str">
        <f t="shared" si="11"/>
        <v>内部装修</v>
      </c>
      <c r="R43" s="772" t="s">
        <v>17</v>
      </c>
      <c r="S43" s="773">
        <f t="shared" si="12"/>
        <v>104</v>
      </c>
      <c r="T43" s="772" t="s">
        <v>17</v>
      </c>
      <c r="U43" s="773">
        <f t="shared" si="13"/>
        <v>104</v>
      </c>
      <c r="V43" s="772" t="s">
        <v>17</v>
      </c>
      <c r="W43" s="773">
        <f t="shared" si="14"/>
        <v>104</v>
      </c>
      <c r="X43" s="1811"/>
      <c r="Y43" s="3237"/>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5"/>
      <c r="Q44" s="1808" t="str">
        <f t="shared" si="11"/>
        <v>内部装修维护情况</v>
      </c>
      <c r="R44" s="772" t="s">
        <v>17</v>
      </c>
      <c r="S44" s="773">
        <f t="shared" si="12"/>
        <v>100</v>
      </c>
      <c r="T44" s="772" t="s">
        <v>17</v>
      </c>
      <c r="U44" s="773">
        <f t="shared" si="13"/>
        <v>100</v>
      </c>
      <c r="V44" s="772" t="s">
        <v>17</v>
      </c>
      <c r="W44" s="773">
        <f t="shared" si="14"/>
        <v>100</v>
      </c>
      <c r="X44" s="1811"/>
      <c r="Y44" s="3237"/>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5"/>
      <c r="Q45" s="1793">
        <f t="shared" si="11"/>
        <v>111</v>
      </c>
      <c r="R45" s="768" t="s">
        <v>17</v>
      </c>
      <c r="S45" s="769">
        <f t="shared" si="12"/>
        <v>100</v>
      </c>
      <c r="T45" s="768" t="s">
        <v>17</v>
      </c>
      <c r="U45" s="769">
        <f t="shared" si="13"/>
        <v>100</v>
      </c>
      <c r="V45" s="768" t="s">
        <v>17</v>
      </c>
      <c r="W45" s="769">
        <f t="shared" si="14"/>
        <v>100</v>
      </c>
      <c r="X45" s="770"/>
      <c r="Y45" s="3237"/>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5"/>
      <c r="Q46" s="1808">
        <f t="shared" si="11"/>
        <v>111</v>
      </c>
      <c r="R46" s="772" t="s">
        <v>17</v>
      </c>
      <c r="S46" s="773">
        <f t="shared" si="12"/>
        <v>100</v>
      </c>
      <c r="T46" s="772" t="s">
        <v>17</v>
      </c>
      <c r="U46" s="773">
        <f t="shared" si="13"/>
        <v>100</v>
      </c>
      <c r="V46" s="772" t="s">
        <v>17</v>
      </c>
      <c r="W46" s="773">
        <f t="shared" si="14"/>
        <v>100</v>
      </c>
      <c r="X46" s="1811"/>
      <c r="Y46" s="3237"/>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6"/>
      <c r="Q47" s="1808">
        <f t="shared" si="11"/>
        <v>0.95</v>
      </c>
      <c r="R47" s="772" t="s">
        <v>17</v>
      </c>
      <c r="S47" s="773">
        <f t="shared" si="12"/>
        <v>100</v>
      </c>
      <c r="T47" s="772" t="s">
        <v>17</v>
      </c>
      <c r="U47" s="773">
        <f t="shared" si="13"/>
        <v>100</v>
      </c>
      <c r="V47" s="772" t="s">
        <v>17</v>
      </c>
      <c r="W47" s="773">
        <f t="shared" si="14"/>
        <v>100</v>
      </c>
      <c r="X47" s="1811"/>
      <c r="Y47" s="3238"/>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0" t="str">
        <f>A48</f>
        <v>成交单价（元/平方米）</v>
      </c>
      <c r="Q48" s="3225"/>
      <c r="R48" s="3226">
        <f>E48</f>
        <v>26600</v>
      </c>
      <c r="S48" s="3226"/>
      <c r="T48" s="3226">
        <f>G48</f>
        <v>23750</v>
      </c>
      <c r="U48" s="3226"/>
      <c r="V48" s="3226">
        <f>I48</f>
        <v>26600</v>
      </c>
      <c r="W48" s="3226"/>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0" t="str">
        <f>A49</f>
        <v>比较价值（元/平方米）</v>
      </c>
      <c r="Q49" s="3225"/>
      <c r="R49" s="3226">
        <f>IF(F1="售价",ROUND(PRODUCT(R48,AA7:AA47),0),ROUND(PRODUCT(R48,AA7:AA47),1))</f>
        <v>26464</v>
      </c>
      <c r="S49" s="3226"/>
      <c r="T49" s="3226">
        <f>IF(F1="售价",ROUND(PRODUCT(T48,AB7:AB47),0),ROUND(PRODUCT(T48,AB7:AB47),1))</f>
        <v>25823</v>
      </c>
      <c r="U49" s="3226"/>
      <c r="V49" s="3226">
        <f>IF(F1="售价",ROUND(PRODUCT(V48,AC7:AC47),0),ROUND(PRODUCT(V48,AC7:AC47),1))</f>
        <v>25384</v>
      </c>
      <c r="W49" s="3226"/>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02" t="str">
        <f>A50</f>
        <v>估价对象XX用房的比较价值（楼面单价，元/平方米）</v>
      </c>
      <c r="Q50" s="3303"/>
      <c r="R50" s="3304">
        <f>IF(F1="售价",ROUND(AVERAGE(R49:V49),0),ROUND(AVERAGE(R49:V49),1))</f>
        <v>25890</v>
      </c>
      <c r="S50" s="3304"/>
      <c r="T50" s="3304"/>
      <c r="U50" s="3304"/>
      <c r="V50" s="3304"/>
      <c r="W50" s="330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33"/>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33"/>
      <c r="Q18" s="1808"/>
      <c r="R18" s="772"/>
      <c r="S18" s="773"/>
      <c r="T18" s="772"/>
      <c r="U18" s="773"/>
      <c r="V18" s="772"/>
      <c r="W18" s="773"/>
      <c r="X18" s="1811"/>
      <c r="Y18" s="3233"/>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3"/>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33"/>
      <c r="Q20" s="1808"/>
      <c r="R20" s="772"/>
      <c r="S20" s="773"/>
      <c r="T20" s="772"/>
      <c r="U20" s="773"/>
      <c r="V20" s="772"/>
      <c r="W20" s="773"/>
      <c r="X20" s="1811"/>
      <c r="Y20" s="3233"/>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3"/>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33"/>
      <c r="Q22" s="1808"/>
      <c r="R22" s="772"/>
      <c r="S22" s="773"/>
      <c r="T22" s="772"/>
      <c r="U22" s="773"/>
      <c r="V22" s="772"/>
      <c r="W22" s="773"/>
      <c r="X22" s="1811"/>
      <c r="Y22" s="3233"/>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3"/>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33"/>
      <c r="Q24" s="1808"/>
      <c r="R24" s="772"/>
      <c r="S24" s="773"/>
      <c r="T24" s="772"/>
      <c r="U24" s="773"/>
      <c r="V24" s="772"/>
      <c r="W24" s="773"/>
      <c r="X24" s="1811"/>
      <c r="Y24" s="3233"/>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3"/>
      <c r="Q25" s="1808">
        <f>B25</f>
        <v>111</v>
      </c>
      <c r="R25" s="772" t="s">
        <v>17</v>
      </c>
      <c r="S25" s="773">
        <f>F25</f>
        <v>100</v>
      </c>
      <c r="T25" s="772" t="s">
        <v>17</v>
      </c>
      <c r="U25" s="773">
        <f>H25</f>
        <v>100</v>
      </c>
      <c r="V25" s="772" t="s">
        <v>17</v>
      </c>
      <c r="W25" s="773">
        <f>J25</f>
        <v>100</v>
      </c>
      <c r="X25" s="1811"/>
      <c r="Y25" s="3233"/>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3"/>
      <c r="Q26" s="1808">
        <f t="shared" ref="Q26:Q40" si="11">B26</f>
        <v>111</v>
      </c>
      <c r="R26" s="772" t="s">
        <v>17</v>
      </c>
      <c r="S26" s="773">
        <f>F26</f>
        <v>100</v>
      </c>
      <c r="T26" s="772" t="s">
        <v>17</v>
      </c>
      <c r="U26" s="773">
        <f>H26</f>
        <v>100</v>
      </c>
      <c r="V26" s="772" t="s">
        <v>17</v>
      </c>
      <c r="W26" s="773">
        <f>J26</f>
        <v>100</v>
      </c>
      <c r="X26" s="1811"/>
      <c r="Y26" s="3233"/>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3"/>
      <c r="Q27" s="1793">
        <f t="shared" si="11"/>
        <v>111</v>
      </c>
      <c r="R27" s="768" t="s">
        <v>17</v>
      </c>
      <c r="S27" s="769">
        <f>F27</f>
        <v>100</v>
      </c>
      <c r="T27" s="768" t="s">
        <v>17</v>
      </c>
      <c r="U27" s="769">
        <f>H27</f>
        <v>100</v>
      </c>
      <c r="V27" s="768" t="s">
        <v>17</v>
      </c>
      <c r="W27" s="769">
        <f>J27</f>
        <v>100</v>
      </c>
      <c r="X27" s="770"/>
      <c r="Y27" s="3233"/>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3"/>
      <c r="Q28" s="1808">
        <f t="shared" si="11"/>
        <v>111</v>
      </c>
      <c r="R28" s="772" t="s">
        <v>17</v>
      </c>
      <c r="S28" s="773">
        <f t="shared" ref="S28:S40" si="12">F28</f>
        <v>100</v>
      </c>
      <c r="T28" s="772" t="s">
        <v>17</v>
      </c>
      <c r="U28" s="773">
        <f t="shared" ref="U28:U40" si="13">H28</f>
        <v>100</v>
      </c>
      <c r="V28" s="772" t="s">
        <v>17</v>
      </c>
      <c r="W28" s="773">
        <f t="shared" ref="W28:W40" si="14">J28</f>
        <v>100</v>
      </c>
      <c r="X28" s="1811"/>
      <c r="Y28" s="3233"/>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7" t="s">
        <v>2566</v>
      </c>
      <c r="Q29" s="1808" t="str">
        <f t="shared" si="11"/>
        <v>建筑类型</v>
      </c>
      <c r="R29" s="772" t="s">
        <v>17</v>
      </c>
      <c r="S29" s="773">
        <f t="shared" si="12"/>
        <v>100</v>
      </c>
      <c r="T29" s="772" t="s">
        <v>17</v>
      </c>
      <c r="U29" s="773">
        <f t="shared" si="13"/>
        <v>100</v>
      </c>
      <c r="V29" s="772" t="s">
        <v>17</v>
      </c>
      <c r="W29" s="773">
        <f t="shared" si="14"/>
        <v>100</v>
      </c>
      <c r="X29" s="1811"/>
      <c r="Y29" s="3237"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7"/>
      <c r="Q30" s="774" t="str">
        <f t="shared" si="11"/>
        <v>项目建筑规模</v>
      </c>
      <c r="R30" s="775" t="s">
        <v>17</v>
      </c>
      <c r="S30" s="776" t="e">
        <f t="shared" si="12"/>
        <v>#N/A</v>
      </c>
      <c r="T30" s="775" t="s">
        <v>17</v>
      </c>
      <c r="U30" s="776" t="e">
        <f t="shared" si="13"/>
        <v>#N/A</v>
      </c>
      <c r="V30" s="775" t="s">
        <v>17</v>
      </c>
      <c r="W30" s="776" t="e">
        <f t="shared" si="14"/>
        <v>#N/A</v>
      </c>
      <c r="X30" s="777"/>
      <c r="Y30" s="3237"/>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7"/>
      <c r="Q31" s="1808" t="str">
        <f t="shared" si="11"/>
        <v>建筑结构</v>
      </c>
      <c r="R31" s="772" t="s">
        <v>17</v>
      </c>
      <c r="S31" s="773">
        <f t="shared" si="12"/>
        <v>100</v>
      </c>
      <c r="T31" s="772" t="s">
        <v>17</v>
      </c>
      <c r="U31" s="773">
        <f t="shared" si="13"/>
        <v>100</v>
      </c>
      <c r="V31" s="772" t="s">
        <v>17</v>
      </c>
      <c r="W31" s="773">
        <f t="shared" si="14"/>
        <v>100</v>
      </c>
      <c r="X31" s="1811"/>
      <c r="Y31" s="3237"/>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7"/>
      <c r="Q32" s="1808" t="str">
        <f t="shared" si="11"/>
        <v>公共部分装修</v>
      </c>
      <c r="R32" s="772" t="s">
        <v>17</v>
      </c>
      <c r="S32" s="773">
        <f t="shared" si="12"/>
        <v>100</v>
      </c>
      <c r="T32" s="772" t="s">
        <v>17</v>
      </c>
      <c r="U32" s="773">
        <f t="shared" si="13"/>
        <v>100</v>
      </c>
      <c r="V32" s="772" t="s">
        <v>17</v>
      </c>
      <c r="W32" s="773">
        <f t="shared" si="14"/>
        <v>100</v>
      </c>
      <c r="X32" s="1811"/>
      <c r="Y32" s="3237"/>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7"/>
      <c r="Q33" s="1808" t="str">
        <f t="shared" si="11"/>
        <v>成新度</v>
      </c>
      <c r="R33" s="772" t="s">
        <v>17</v>
      </c>
      <c r="S33" s="773" t="e">
        <f t="shared" si="12"/>
        <v>#N/A</v>
      </c>
      <c r="T33" s="772" t="s">
        <v>17</v>
      </c>
      <c r="U33" s="773" t="e">
        <f t="shared" si="13"/>
        <v>#N/A</v>
      </c>
      <c r="V33" s="772" t="s">
        <v>17</v>
      </c>
      <c r="W33" s="773" t="e">
        <f t="shared" si="14"/>
        <v>#N/A</v>
      </c>
      <c r="X33" s="1811"/>
      <c r="Y33" s="3237"/>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7"/>
      <c r="Q34" s="1793" t="str">
        <f t="shared" si="11"/>
        <v>物业管理</v>
      </c>
      <c r="R34" s="768" t="s">
        <v>17</v>
      </c>
      <c r="S34" s="769">
        <f t="shared" si="12"/>
        <v>100</v>
      </c>
      <c r="T34" s="768" t="s">
        <v>17</v>
      </c>
      <c r="U34" s="769">
        <f t="shared" si="13"/>
        <v>100</v>
      </c>
      <c r="V34" s="768" t="s">
        <v>17</v>
      </c>
      <c r="W34" s="769">
        <f t="shared" si="14"/>
        <v>100</v>
      </c>
      <c r="X34" s="770"/>
      <c r="Y34" s="3237"/>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7" t="s">
        <v>2566</v>
      </c>
      <c r="Q35" s="1808" t="str">
        <f t="shared" si="11"/>
        <v>市政基础设施</v>
      </c>
      <c r="R35" s="772" t="s">
        <v>17</v>
      </c>
      <c r="S35" s="773">
        <f t="shared" si="12"/>
        <v>100</v>
      </c>
      <c r="T35" s="772" t="s">
        <v>17</v>
      </c>
      <c r="U35" s="773">
        <f t="shared" si="13"/>
        <v>100</v>
      </c>
      <c r="V35" s="772" t="s">
        <v>17</v>
      </c>
      <c r="W35" s="773">
        <f t="shared" si="14"/>
        <v>100</v>
      </c>
      <c r="X35" s="1811"/>
      <c r="Y35" s="3237"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7"/>
      <c r="Q36" s="1808" t="str">
        <f t="shared" si="11"/>
        <v>内部装修</v>
      </c>
      <c r="R36" s="772" t="s">
        <v>17</v>
      </c>
      <c r="S36" s="773">
        <f t="shared" si="12"/>
        <v>100</v>
      </c>
      <c r="T36" s="772" t="s">
        <v>17</v>
      </c>
      <c r="U36" s="773">
        <f t="shared" si="13"/>
        <v>100</v>
      </c>
      <c r="V36" s="772" t="s">
        <v>17</v>
      </c>
      <c r="W36" s="773">
        <f t="shared" si="14"/>
        <v>100</v>
      </c>
      <c r="X36" s="1811"/>
      <c r="Y36" s="3237"/>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7"/>
      <c r="Q37" s="1808" t="str">
        <f t="shared" si="11"/>
        <v>内部装修状况</v>
      </c>
      <c r="R37" s="772" t="s">
        <v>17</v>
      </c>
      <c r="S37" s="773">
        <f t="shared" si="12"/>
        <v>100</v>
      </c>
      <c r="T37" s="772" t="s">
        <v>17</v>
      </c>
      <c r="U37" s="773">
        <f t="shared" si="13"/>
        <v>100</v>
      </c>
      <c r="V37" s="772" t="s">
        <v>17</v>
      </c>
      <c r="W37" s="773">
        <f t="shared" si="14"/>
        <v>100</v>
      </c>
      <c r="X37" s="1811"/>
      <c r="Y37" s="3237"/>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7"/>
      <c r="Q38" s="774">
        <f t="shared" si="11"/>
        <v>111</v>
      </c>
      <c r="R38" s="775" t="s">
        <v>17</v>
      </c>
      <c r="S38" s="776">
        <f t="shared" si="12"/>
        <v>100</v>
      </c>
      <c r="T38" s="775" t="s">
        <v>17</v>
      </c>
      <c r="U38" s="776">
        <f t="shared" si="13"/>
        <v>100</v>
      </c>
      <c r="V38" s="775" t="s">
        <v>17</v>
      </c>
      <c r="W38" s="776">
        <f t="shared" si="14"/>
        <v>100</v>
      </c>
      <c r="X38" s="777"/>
      <c r="Y38" s="3237"/>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7"/>
      <c r="Q39" s="1808">
        <f t="shared" si="11"/>
        <v>111</v>
      </c>
      <c r="R39" s="772" t="s">
        <v>17</v>
      </c>
      <c r="S39" s="773">
        <f t="shared" si="12"/>
        <v>100</v>
      </c>
      <c r="T39" s="772" t="s">
        <v>17</v>
      </c>
      <c r="U39" s="773">
        <f t="shared" si="13"/>
        <v>100</v>
      </c>
      <c r="V39" s="772" t="s">
        <v>17</v>
      </c>
      <c r="W39" s="773">
        <f t="shared" si="14"/>
        <v>100</v>
      </c>
      <c r="X39" s="1811"/>
      <c r="Y39" s="3237"/>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8"/>
      <c r="Q40" s="1808">
        <f t="shared" si="11"/>
        <v>111</v>
      </c>
      <c r="R40" s="772" t="s">
        <v>17</v>
      </c>
      <c r="S40" s="773">
        <f t="shared" si="12"/>
        <v>100</v>
      </c>
      <c r="T40" s="772" t="s">
        <v>17</v>
      </c>
      <c r="U40" s="773">
        <f t="shared" si="13"/>
        <v>100</v>
      </c>
      <c r="V40" s="772" t="s">
        <v>17</v>
      </c>
      <c r="W40" s="773">
        <f t="shared" si="14"/>
        <v>100</v>
      </c>
      <c r="X40" s="1811"/>
      <c r="Y40" s="3238"/>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25" t="str">
        <f>A41</f>
        <v>成交单价（元/平方米）</v>
      </c>
      <c r="Q41" s="3225"/>
      <c r="R41" s="3226">
        <f>E41</f>
        <v>0</v>
      </c>
      <c r="S41" s="3226"/>
      <c r="T41" s="3226">
        <f>G41</f>
        <v>0</v>
      </c>
      <c r="U41" s="3226"/>
      <c r="V41" s="3226">
        <f>I41</f>
        <v>0</v>
      </c>
      <c r="W41" s="3226"/>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27" t="str">
        <f>A43</f>
        <v>估价对象XX用房的比较价值（楼面单价，元/平方米）</v>
      </c>
      <c r="Q43" s="3228"/>
      <c r="R43" s="3229" t="e">
        <f>IF(F1="售价",ROUND(AVERAGE(R42:V42),0),ROUND(AVERAGE(R42:V42),1))</f>
        <v>#DIV/0!</v>
      </c>
      <c r="S43" s="3229"/>
      <c r="T43" s="3229"/>
      <c r="U43" s="3229"/>
      <c r="V43" s="3229"/>
      <c r="W43" s="322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64" t="s">
        <v>2550</v>
      </c>
      <c r="Q7" s="3266"/>
      <c r="R7" s="768" t="s">
        <v>17</v>
      </c>
      <c r="S7" s="769">
        <f t="shared" ref="S7:S14" si="0">F7</f>
        <v>0</v>
      </c>
      <c r="T7" s="768" t="s">
        <v>17</v>
      </c>
      <c r="U7" s="769">
        <f t="shared" ref="U7:U14" si="1">H7</f>
        <v>0</v>
      </c>
      <c r="V7" s="768" t="s">
        <v>17</v>
      </c>
      <c r="W7" s="769">
        <f t="shared" ref="W7:W14" si="2">J7</f>
        <v>0</v>
      </c>
      <c r="X7" s="770"/>
      <c r="Y7" s="3264" t="s">
        <v>2550</v>
      </c>
      <c r="Z7" s="3265"/>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5" t="s">
        <v>2556</v>
      </c>
      <c r="Q9" s="1793" t="str">
        <f t="shared" ref="Q9:Q14" si="6">B9</f>
        <v>用途</v>
      </c>
      <c r="R9" s="768" t="s">
        <v>17</v>
      </c>
      <c r="S9" s="769">
        <f t="shared" si="0"/>
        <v>100</v>
      </c>
      <c r="T9" s="768" t="s">
        <v>17</v>
      </c>
      <c r="U9" s="769">
        <f t="shared" si="1"/>
        <v>100</v>
      </c>
      <c r="V9" s="768" t="s">
        <v>17</v>
      </c>
      <c r="W9" s="769">
        <f t="shared" si="2"/>
        <v>100</v>
      </c>
      <c r="X9" s="770"/>
      <c r="Y9" s="3080"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5"/>
      <c r="Q11" s="1793">
        <f t="shared" si="6"/>
        <v>111</v>
      </c>
      <c r="R11" s="768" t="s">
        <v>17</v>
      </c>
      <c r="S11" s="769">
        <f t="shared" si="0"/>
        <v>100</v>
      </c>
      <c r="T11" s="768" t="s">
        <v>17</v>
      </c>
      <c r="U11" s="769">
        <f t="shared" si="1"/>
        <v>100</v>
      </c>
      <c r="V11" s="768" t="s">
        <v>17</v>
      </c>
      <c r="W11" s="769">
        <f t="shared" si="2"/>
        <v>100</v>
      </c>
      <c r="X11" s="770"/>
      <c r="Y11" s="308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33"/>
      <c r="Q15" s="1808"/>
      <c r="R15" s="772"/>
      <c r="S15" s="773"/>
      <c r="T15" s="772"/>
      <c r="U15" s="773"/>
      <c r="V15" s="772"/>
      <c r="W15" s="773"/>
      <c r="X15" s="1811"/>
      <c r="Y15" s="3233"/>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33"/>
      <c r="Q17" s="1808"/>
      <c r="R17" s="772"/>
      <c r="S17" s="773"/>
      <c r="T17" s="772"/>
      <c r="U17" s="773"/>
      <c r="V17" s="772"/>
      <c r="W17" s="773"/>
      <c r="X17" s="1811"/>
      <c r="Y17" s="3233"/>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33"/>
      <c r="Q19" s="1808"/>
      <c r="R19" s="772"/>
      <c r="S19" s="773"/>
      <c r="T19" s="772"/>
      <c r="U19" s="773"/>
      <c r="V19" s="772"/>
      <c r="W19" s="773"/>
      <c r="X19" s="1811"/>
      <c r="Y19" s="3233"/>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33"/>
      <c r="Q21" s="1808"/>
      <c r="R21" s="772"/>
      <c r="S21" s="773"/>
      <c r="T21" s="772"/>
      <c r="U21" s="773"/>
      <c r="V21" s="772"/>
      <c r="W21" s="773"/>
      <c r="X21" s="1811"/>
      <c r="Y21" s="3233"/>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3"/>
      <c r="Q24" s="1808">
        <f t="shared" ref="Q24:Q36"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7"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7"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7"/>
      <c r="Q27" s="774" t="str">
        <f t="shared" si="11"/>
        <v>项目停车位配比</v>
      </c>
      <c r="R27" s="775" t="s">
        <v>17</v>
      </c>
      <c r="S27" s="776">
        <f t="shared" si="12"/>
        <v>100</v>
      </c>
      <c r="T27" s="775" t="s">
        <v>17</v>
      </c>
      <c r="U27" s="776">
        <f t="shared" si="13"/>
        <v>100</v>
      </c>
      <c r="V27" s="775" t="s">
        <v>17</v>
      </c>
      <c r="W27" s="776">
        <f t="shared" si="14"/>
        <v>100</v>
      </c>
      <c r="X27" s="777"/>
      <c r="Y27" s="3237"/>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7"/>
      <c r="Q28" s="1808" t="str">
        <f t="shared" si="11"/>
        <v>公共部分装修</v>
      </c>
      <c r="R28" s="772" t="s">
        <v>17</v>
      </c>
      <c r="S28" s="773">
        <f t="shared" si="12"/>
        <v>100</v>
      </c>
      <c r="T28" s="772" t="s">
        <v>17</v>
      </c>
      <c r="U28" s="773">
        <f t="shared" si="13"/>
        <v>100</v>
      </c>
      <c r="V28" s="772" t="s">
        <v>17</v>
      </c>
      <c r="W28" s="773">
        <f t="shared" si="14"/>
        <v>100</v>
      </c>
      <c r="X28" s="1811"/>
      <c r="Y28" s="3237"/>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7"/>
      <c r="Q29" s="1808" t="str">
        <f t="shared" si="11"/>
        <v>成新率</v>
      </c>
      <c r="R29" s="772" t="s">
        <v>17</v>
      </c>
      <c r="S29" s="773" t="e">
        <f t="shared" si="12"/>
        <v>#N/A</v>
      </c>
      <c r="T29" s="772" t="s">
        <v>17</v>
      </c>
      <c r="U29" s="773" t="e">
        <f t="shared" si="13"/>
        <v>#N/A</v>
      </c>
      <c r="V29" s="772" t="s">
        <v>17</v>
      </c>
      <c r="W29" s="773" t="e">
        <f t="shared" si="14"/>
        <v>#N/A</v>
      </c>
      <c r="X29" s="1811"/>
      <c r="Y29" s="3237"/>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7"/>
      <c r="Q30" s="1808" t="str">
        <f t="shared" si="11"/>
        <v>物业等级</v>
      </c>
      <c r="R30" s="772" t="s">
        <v>17</v>
      </c>
      <c r="S30" s="773">
        <f t="shared" si="12"/>
        <v>100</v>
      </c>
      <c r="T30" s="772" t="s">
        <v>17</v>
      </c>
      <c r="U30" s="773">
        <f t="shared" si="13"/>
        <v>100</v>
      </c>
      <c r="V30" s="772" t="s">
        <v>17</v>
      </c>
      <c r="W30" s="773">
        <f t="shared" si="14"/>
        <v>100</v>
      </c>
      <c r="X30" s="1811"/>
      <c r="Y30" s="3237"/>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7"/>
      <c r="Q31" s="1793" t="str">
        <f t="shared" si="11"/>
        <v>停车位面积</v>
      </c>
      <c r="R31" s="768" t="s">
        <v>17</v>
      </c>
      <c r="S31" s="769" t="e">
        <f t="shared" si="12"/>
        <v>#N/A</v>
      </c>
      <c r="T31" s="768" t="s">
        <v>17</v>
      </c>
      <c r="U31" s="769" t="e">
        <f t="shared" si="13"/>
        <v>#N/A</v>
      </c>
      <c r="V31" s="768" t="s">
        <v>17</v>
      </c>
      <c r="W31" s="769" t="e">
        <f t="shared" si="14"/>
        <v>#N/A</v>
      </c>
      <c r="X31" s="770"/>
      <c r="Y31" s="3237"/>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7" t="s">
        <v>2566</v>
      </c>
      <c r="Q32" s="1808" t="str">
        <f t="shared" si="11"/>
        <v>车位类型</v>
      </c>
      <c r="R32" s="772" t="s">
        <v>17</v>
      </c>
      <c r="S32" s="773">
        <f t="shared" si="12"/>
        <v>100</v>
      </c>
      <c r="T32" s="772" t="s">
        <v>17</v>
      </c>
      <c r="U32" s="773">
        <f t="shared" si="13"/>
        <v>100</v>
      </c>
      <c r="V32" s="772" t="s">
        <v>17</v>
      </c>
      <c r="W32" s="773">
        <f t="shared" si="14"/>
        <v>100</v>
      </c>
      <c r="X32" s="1811"/>
      <c r="Y32" s="3237"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7"/>
      <c r="Q33" s="1808" t="str">
        <f t="shared" si="11"/>
        <v>是否直接入户</v>
      </c>
      <c r="R33" s="772" t="s">
        <v>17</v>
      </c>
      <c r="S33" s="773">
        <f t="shared" si="12"/>
        <v>100</v>
      </c>
      <c r="T33" s="772" t="s">
        <v>17</v>
      </c>
      <c r="U33" s="773">
        <f t="shared" si="13"/>
        <v>100</v>
      </c>
      <c r="V33" s="772" t="s">
        <v>17</v>
      </c>
      <c r="W33" s="773">
        <f t="shared" si="14"/>
        <v>100</v>
      </c>
      <c r="X33" s="1811"/>
      <c r="Y33" s="323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7"/>
      <c r="Q35" s="774">
        <f t="shared" si="11"/>
        <v>111</v>
      </c>
      <c r="R35" s="775" t="s">
        <v>17</v>
      </c>
      <c r="S35" s="776">
        <f t="shared" si="12"/>
        <v>100</v>
      </c>
      <c r="T35" s="775" t="s">
        <v>17</v>
      </c>
      <c r="U35" s="776">
        <f t="shared" si="13"/>
        <v>100</v>
      </c>
      <c r="V35" s="775" t="s">
        <v>17</v>
      </c>
      <c r="W35" s="776">
        <f t="shared" si="14"/>
        <v>100</v>
      </c>
      <c r="X35" s="777"/>
      <c r="Y35" s="3237"/>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7"/>
      <c r="Q36" s="1808">
        <f t="shared" si="11"/>
        <v>111</v>
      </c>
      <c r="R36" s="772" t="s">
        <v>17</v>
      </c>
      <c r="S36" s="773">
        <f t="shared" si="12"/>
        <v>100</v>
      </c>
      <c r="T36" s="772" t="s">
        <v>17</v>
      </c>
      <c r="U36" s="773">
        <f t="shared" si="13"/>
        <v>100</v>
      </c>
      <c r="V36" s="772" t="s">
        <v>17</v>
      </c>
      <c r="W36" s="773">
        <f t="shared" si="14"/>
        <v>100</v>
      </c>
      <c r="X36" s="1811"/>
      <c r="Y36" s="3237"/>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25" t="str">
        <f>A37</f>
        <v>成交单价</v>
      </c>
      <c r="Q37" s="3225"/>
      <c r="R37" s="3226">
        <f>E37</f>
        <v>0</v>
      </c>
      <c r="S37" s="3226"/>
      <c r="T37" s="3226">
        <f>G37</f>
        <v>0</v>
      </c>
      <c r="U37" s="3226"/>
      <c r="V37" s="3226">
        <f>I37</f>
        <v>0</v>
      </c>
      <c r="W37" s="3226"/>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64" t="s">
        <v>2550</v>
      </c>
      <c r="Q7" s="3266"/>
      <c r="R7" s="768" t="s">
        <v>17</v>
      </c>
      <c r="S7" s="769">
        <f t="shared" ref="S7:S14" si="0">F7</f>
        <v>0</v>
      </c>
      <c r="T7" s="768" t="s">
        <v>17</v>
      </c>
      <c r="U7" s="769">
        <f t="shared" ref="U7:U14" si="1">H7</f>
        <v>0</v>
      </c>
      <c r="V7" s="768" t="s">
        <v>17</v>
      </c>
      <c r="W7" s="769">
        <f t="shared" ref="W7:W14" si="2">J7</f>
        <v>0</v>
      </c>
      <c r="X7" s="770"/>
      <c r="Y7" s="3264" t="s">
        <v>2550</v>
      </c>
      <c r="Z7" s="3265"/>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5" t="s">
        <v>2556</v>
      </c>
      <c r="Q9" s="1793" t="str">
        <f t="shared" ref="Q9:Q14" si="6">B9</f>
        <v>用途</v>
      </c>
      <c r="R9" s="768" t="s">
        <v>17</v>
      </c>
      <c r="S9" s="769">
        <f t="shared" si="0"/>
        <v>100</v>
      </c>
      <c r="T9" s="768" t="s">
        <v>17</v>
      </c>
      <c r="U9" s="769">
        <f t="shared" si="1"/>
        <v>100</v>
      </c>
      <c r="V9" s="768" t="s">
        <v>17</v>
      </c>
      <c r="W9" s="769">
        <f t="shared" si="2"/>
        <v>100</v>
      </c>
      <c r="X9" s="770"/>
      <c r="Y9" s="3080"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5"/>
      <c r="Q11" s="1793">
        <f t="shared" si="6"/>
        <v>111</v>
      </c>
      <c r="R11" s="768" t="s">
        <v>17</v>
      </c>
      <c r="S11" s="769">
        <f t="shared" si="0"/>
        <v>100</v>
      </c>
      <c r="T11" s="768" t="s">
        <v>17</v>
      </c>
      <c r="U11" s="769">
        <f t="shared" si="1"/>
        <v>100</v>
      </c>
      <c r="V11" s="768" t="s">
        <v>17</v>
      </c>
      <c r="W11" s="769">
        <f t="shared" si="2"/>
        <v>100</v>
      </c>
      <c r="X11" s="770"/>
      <c r="Y11" s="3080"/>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33"/>
      <c r="Q15" s="1808"/>
      <c r="R15" s="772"/>
      <c r="S15" s="773"/>
      <c r="T15" s="772"/>
      <c r="U15" s="773"/>
      <c r="V15" s="772"/>
      <c r="W15" s="773"/>
      <c r="X15" s="1811"/>
      <c r="Y15" s="3233"/>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33"/>
      <c r="Q17" s="1808"/>
      <c r="R17" s="772"/>
      <c r="S17" s="773"/>
      <c r="T17" s="772"/>
      <c r="U17" s="773"/>
      <c r="V17" s="772"/>
      <c r="W17" s="773"/>
      <c r="X17" s="1811"/>
      <c r="Y17" s="3233"/>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33"/>
      <c r="Q19" s="1808"/>
      <c r="R19" s="772"/>
      <c r="S19" s="773"/>
      <c r="T19" s="772"/>
      <c r="U19" s="773"/>
      <c r="V19" s="772"/>
      <c r="W19" s="773"/>
      <c r="X19" s="1811"/>
      <c r="Y19" s="3233"/>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33"/>
      <c r="Q21" s="1808"/>
      <c r="R21" s="772"/>
      <c r="S21" s="773"/>
      <c r="T21" s="772"/>
      <c r="U21" s="773"/>
      <c r="V21" s="772"/>
      <c r="W21" s="773"/>
      <c r="X21" s="1811"/>
      <c r="Y21" s="3233"/>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3"/>
      <c r="Q24" s="1808">
        <f t="shared" ref="Q24:Q34"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7"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7"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7"/>
      <c r="Q27" s="774" t="str">
        <f t="shared" si="11"/>
        <v>成新率</v>
      </c>
      <c r="R27" s="775" t="s">
        <v>17</v>
      </c>
      <c r="S27" s="776" t="e">
        <f t="shared" si="12"/>
        <v>#N/A</v>
      </c>
      <c r="T27" s="775" t="s">
        <v>17</v>
      </c>
      <c r="U27" s="776" t="e">
        <f t="shared" si="13"/>
        <v>#N/A</v>
      </c>
      <c r="V27" s="775" t="s">
        <v>17</v>
      </c>
      <c r="W27" s="776" t="e">
        <f t="shared" si="14"/>
        <v>#N/A</v>
      </c>
      <c r="X27" s="777"/>
      <c r="Y27" s="3237"/>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7"/>
      <c r="Q28" s="1808" t="str">
        <f t="shared" si="11"/>
        <v>物业等级</v>
      </c>
      <c r="R28" s="772" t="s">
        <v>17</v>
      </c>
      <c r="S28" s="773">
        <f t="shared" si="12"/>
        <v>100</v>
      </c>
      <c r="T28" s="772" t="s">
        <v>17</v>
      </c>
      <c r="U28" s="773">
        <f t="shared" si="13"/>
        <v>100</v>
      </c>
      <c r="V28" s="772" t="s">
        <v>17</v>
      </c>
      <c r="W28" s="773">
        <f t="shared" si="14"/>
        <v>100</v>
      </c>
      <c r="X28" s="1811"/>
      <c r="Y28" s="3237"/>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7"/>
      <c r="Q29" s="1808" t="str">
        <f t="shared" si="11"/>
        <v>有无电梯</v>
      </c>
      <c r="R29" s="772" t="s">
        <v>17</v>
      </c>
      <c r="S29" s="773">
        <f t="shared" si="12"/>
        <v>100</v>
      </c>
      <c r="T29" s="772" t="s">
        <v>17</v>
      </c>
      <c r="U29" s="773">
        <f t="shared" si="13"/>
        <v>100</v>
      </c>
      <c r="V29" s="772" t="s">
        <v>17</v>
      </c>
      <c r="W29" s="773">
        <f t="shared" si="14"/>
        <v>100</v>
      </c>
      <c r="X29" s="1811"/>
      <c r="Y29" s="3237"/>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7"/>
      <c r="Q30" s="1808" t="str">
        <f t="shared" si="11"/>
        <v>建筑面积</v>
      </c>
      <c r="R30" s="772" t="s">
        <v>17</v>
      </c>
      <c r="S30" s="773" t="e">
        <f t="shared" si="12"/>
        <v>#N/A</v>
      </c>
      <c r="T30" s="772" t="s">
        <v>17</v>
      </c>
      <c r="U30" s="773" t="e">
        <f t="shared" si="13"/>
        <v>#N/A</v>
      </c>
      <c r="V30" s="772" t="s">
        <v>17</v>
      </c>
      <c r="W30" s="773" t="e">
        <f t="shared" si="14"/>
        <v>#N/A</v>
      </c>
      <c r="X30" s="1811"/>
      <c r="Y30" s="3237"/>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7"/>
      <c r="Q31" s="1793" t="str">
        <f t="shared" si="11"/>
        <v>是否封闭</v>
      </c>
      <c r="R31" s="768" t="s">
        <v>17</v>
      </c>
      <c r="S31" s="769">
        <f t="shared" si="12"/>
        <v>100</v>
      </c>
      <c r="T31" s="768" t="s">
        <v>17</v>
      </c>
      <c r="U31" s="769">
        <f t="shared" si="13"/>
        <v>100</v>
      </c>
      <c r="V31" s="768" t="s">
        <v>17</v>
      </c>
      <c r="W31" s="769">
        <f t="shared" si="14"/>
        <v>100</v>
      </c>
      <c r="X31" s="770"/>
      <c r="Y31" s="3237"/>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7" t="s">
        <v>2566</v>
      </c>
      <c r="Q32" s="1808">
        <f t="shared" si="11"/>
        <v>111</v>
      </c>
      <c r="R32" s="772" t="s">
        <v>17</v>
      </c>
      <c r="S32" s="773">
        <f t="shared" si="12"/>
        <v>100</v>
      </c>
      <c r="T32" s="772" t="s">
        <v>17</v>
      </c>
      <c r="U32" s="773">
        <f t="shared" si="13"/>
        <v>100</v>
      </c>
      <c r="V32" s="772" t="s">
        <v>17</v>
      </c>
      <c r="W32" s="773">
        <f t="shared" si="14"/>
        <v>100</v>
      </c>
      <c r="X32" s="1811"/>
      <c r="Y32" s="3237"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7"/>
      <c r="Q33" s="1808">
        <f t="shared" si="11"/>
        <v>111</v>
      </c>
      <c r="R33" s="772" t="s">
        <v>17</v>
      </c>
      <c r="S33" s="773">
        <f t="shared" si="12"/>
        <v>100</v>
      </c>
      <c r="T33" s="772" t="s">
        <v>17</v>
      </c>
      <c r="U33" s="773">
        <f t="shared" si="13"/>
        <v>100</v>
      </c>
      <c r="V33" s="772" t="s">
        <v>17</v>
      </c>
      <c r="W33" s="773">
        <f t="shared" si="14"/>
        <v>100</v>
      </c>
      <c r="X33" s="1811"/>
      <c r="Y33" s="3237"/>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25" t="str">
        <f>A35</f>
        <v>成交单价（元/平方米）</v>
      </c>
      <c r="Q35" s="3225"/>
      <c r="R35" s="3226">
        <f>E35</f>
        <v>0</v>
      </c>
      <c r="S35" s="3226"/>
      <c r="T35" s="3226">
        <f>G35</f>
        <v>0</v>
      </c>
      <c r="U35" s="3226"/>
      <c r="V35" s="3226">
        <f>I35</f>
        <v>0</v>
      </c>
      <c r="W35" s="3226"/>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30"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30"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25"/>
      <c r="Q10" s="1793" t="str">
        <f t="shared" si="6"/>
        <v>土地使用年限（年）</v>
      </c>
      <c r="R10" s="768" t="s">
        <v>17</v>
      </c>
      <c r="S10" s="769">
        <f t="shared" si="0"/>
        <v>104</v>
      </c>
      <c r="T10" s="768" t="s">
        <v>17</v>
      </c>
      <c r="U10" s="769">
        <f t="shared" si="1"/>
        <v>104</v>
      </c>
      <c r="V10" s="768" t="s">
        <v>17</v>
      </c>
      <c r="W10" s="769">
        <f t="shared" si="2"/>
        <v>104</v>
      </c>
      <c r="X10" s="770"/>
      <c r="Y10" s="3080"/>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5"/>
      <c r="Q12" s="1793" t="str">
        <f t="shared" si="6"/>
        <v>配建</v>
      </c>
      <c r="R12" s="768" t="s">
        <v>17</v>
      </c>
      <c r="S12" s="769">
        <f t="shared" si="0"/>
        <v>100</v>
      </c>
      <c r="T12" s="768" t="s">
        <v>17</v>
      </c>
      <c r="U12" s="769">
        <f t="shared" si="1"/>
        <v>100</v>
      </c>
      <c r="V12" s="768" t="s">
        <v>17</v>
      </c>
      <c r="W12" s="769">
        <f t="shared" si="2"/>
        <v>100</v>
      </c>
      <c r="X12" s="770"/>
      <c r="Y12" s="3080"/>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2" t="s">
        <v>2561</v>
      </c>
      <c r="Q15" s="1808" t="str">
        <f t="shared" si="6"/>
        <v>居住社区成熟度</v>
      </c>
      <c r="R15" s="772" t="s">
        <v>17</v>
      </c>
      <c r="S15" s="773">
        <f t="shared" si="0"/>
        <v>100</v>
      </c>
      <c r="T15" s="772" t="s">
        <v>17</v>
      </c>
      <c r="U15" s="773">
        <f t="shared" si="1"/>
        <v>100</v>
      </c>
      <c r="V15" s="772" t="s">
        <v>17</v>
      </c>
      <c r="W15" s="773">
        <f t="shared" si="2"/>
        <v>100</v>
      </c>
      <c r="X15" s="1811"/>
      <c r="Y15" s="3232"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33"/>
      <c r="Q16" s="1808"/>
      <c r="R16" s="772"/>
      <c r="S16" s="773"/>
      <c r="T16" s="772"/>
      <c r="U16" s="773"/>
      <c r="V16" s="772"/>
      <c r="W16" s="773"/>
      <c r="X16" s="1811"/>
      <c r="Y16" s="3233"/>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3"/>
      <c r="Q17" s="1808" t="str">
        <f>B17</f>
        <v>商业繁华度</v>
      </c>
      <c r="R17" s="772" t="s">
        <v>17</v>
      </c>
      <c r="S17" s="773">
        <f>F17</f>
        <v>100</v>
      </c>
      <c r="T17" s="772" t="s">
        <v>17</v>
      </c>
      <c r="U17" s="773">
        <f>H17</f>
        <v>100</v>
      </c>
      <c r="V17" s="772" t="s">
        <v>17</v>
      </c>
      <c r="W17" s="773">
        <f>J17</f>
        <v>100</v>
      </c>
      <c r="X17" s="1811"/>
      <c r="Y17" s="3233"/>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33"/>
      <c r="Q18" s="1808"/>
      <c r="R18" s="772"/>
      <c r="S18" s="773"/>
      <c r="T18" s="772"/>
      <c r="U18" s="773"/>
      <c r="V18" s="772"/>
      <c r="W18" s="773"/>
      <c r="X18" s="1811"/>
      <c r="Y18" s="3233"/>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3"/>
      <c r="Q19" s="1808" t="str">
        <f>B19</f>
        <v>办公集聚程度</v>
      </c>
      <c r="R19" s="772" t="s">
        <v>17</v>
      </c>
      <c r="S19" s="773">
        <f>F19</f>
        <v>100</v>
      </c>
      <c r="T19" s="772" t="s">
        <v>17</v>
      </c>
      <c r="U19" s="773">
        <f>H19</f>
        <v>100</v>
      </c>
      <c r="V19" s="772" t="s">
        <v>17</v>
      </c>
      <c r="W19" s="773">
        <f>J19</f>
        <v>100</v>
      </c>
      <c r="X19" s="1811"/>
      <c r="Y19" s="3233"/>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33"/>
      <c r="Q20" s="1808"/>
      <c r="R20" s="772"/>
      <c r="S20" s="773"/>
      <c r="T20" s="772"/>
      <c r="U20" s="773"/>
      <c r="V20" s="772"/>
      <c r="W20" s="773"/>
      <c r="X20" s="1811"/>
      <c r="Y20" s="3233"/>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3"/>
      <c r="Q21" s="1808" t="str">
        <f>B21</f>
        <v>交通便捷度</v>
      </c>
      <c r="R21" s="772" t="s">
        <v>17</v>
      </c>
      <c r="S21" s="773">
        <f>F21</f>
        <v>100</v>
      </c>
      <c r="T21" s="772" t="s">
        <v>17</v>
      </c>
      <c r="U21" s="773">
        <f>H21</f>
        <v>100</v>
      </c>
      <c r="V21" s="772" t="s">
        <v>17</v>
      </c>
      <c r="W21" s="773">
        <f>J21</f>
        <v>100</v>
      </c>
      <c r="X21" s="1811"/>
      <c r="Y21" s="3233"/>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33"/>
      <c r="Q22" s="1808"/>
      <c r="R22" s="772"/>
      <c r="S22" s="773"/>
      <c r="T22" s="772"/>
      <c r="U22" s="773"/>
      <c r="V22" s="772"/>
      <c r="W22" s="773"/>
      <c r="X22" s="1811"/>
      <c r="Y22" s="3233"/>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3"/>
      <c r="Q23" s="1808" t="str">
        <f t="shared" ref="Q23:Q37" si="8">B23</f>
        <v>区域土地利用方向</v>
      </c>
      <c r="R23" s="772" t="s">
        <v>17</v>
      </c>
      <c r="S23" s="773">
        <f>F23</f>
        <v>100</v>
      </c>
      <c r="T23" s="772" t="s">
        <v>17</v>
      </c>
      <c r="U23" s="773">
        <f>H23</f>
        <v>100</v>
      </c>
      <c r="V23" s="772" t="s">
        <v>17</v>
      </c>
      <c r="W23" s="773">
        <f>J23</f>
        <v>100</v>
      </c>
      <c r="X23" s="1811"/>
      <c r="Y23" s="3233"/>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33"/>
      <c r="Q24" s="1808"/>
      <c r="R24" s="772"/>
      <c r="S24" s="773"/>
      <c r="T24" s="772"/>
      <c r="U24" s="773"/>
      <c r="V24" s="772"/>
      <c r="W24" s="773"/>
      <c r="X24" s="1811"/>
      <c r="Y24" s="3233"/>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3"/>
      <c r="Q25" s="1808" t="str">
        <f t="shared" si="8"/>
        <v>自然及人文环境状况</v>
      </c>
      <c r="R25" s="772" t="s">
        <v>17</v>
      </c>
      <c r="S25" s="773">
        <f>F25</f>
        <v>100</v>
      </c>
      <c r="T25" s="772" t="s">
        <v>17</v>
      </c>
      <c r="U25" s="773">
        <f>H25</f>
        <v>100</v>
      </c>
      <c r="V25" s="772" t="s">
        <v>17</v>
      </c>
      <c r="W25" s="773">
        <f>J25</f>
        <v>100</v>
      </c>
      <c r="X25" s="1811"/>
      <c r="Y25" s="3233"/>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33"/>
      <c r="Q26" s="1808"/>
      <c r="R26" s="772"/>
      <c r="S26" s="773"/>
      <c r="T26" s="772"/>
      <c r="U26" s="773"/>
      <c r="V26" s="772"/>
      <c r="W26" s="773"/>
      <c r="X26" s="1811"/>
      <c r="Y26" s="3233"/>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3"/>
      <c r="Q27" s="1793" t="str">
        <f t="shared" si="8"/>
        <v>公共配套设施</v>
      </c>
      <c r="R27" s="768" t="s">
        <v>17</v>
      </c>
      <c r="S27" s="769">
        <f>F27</f>
        <v>100</v>
      </c>
      <c r="T27" s="768" t="s">
        <v>17</v>
      </c>
      <c r="U27" s="769">
        <f>H27</f>
        <v>100</v>
      </c>
      <c r="V27" s="768" t="s">
        <v>17</v>
      </c>
      <c r="W27" s="769">
        <f>J27</f>
        <v>100</v>
      </c>
      <c r="X27" s="770"/>
      <c r="Y27" s="3233"/>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33"/>
      <c r="Q28" s="1793"/>
      <c r="R28" s="768"/>
      <c r="S28" s="769"/>
      <c r="T28" s="768"/>
      <c r="U28" s="769"/>
      <c r="V28" s="768"/>
      <c r="W28" s="769"/>
      <c r="X28" s="770"/>
      <c r="Y28" s="3233"/>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3"/>
      <c r="Q29" s="1793" t="str">
        <f t="shared" ref="Q29" si="9">B29</f>
        <v>基础设施水平</v>
      </c>
      <c r="R29" s="768" t="s">
        <v>17</v>
      </c>
      <c r="S29" s="769">
        <f>F29</f>
        <v>100</v>
      </c>
      <c r="T29" s="768" t="s">
        <v>17</v>
      </c>
      <c r="U29" s="769">
        <f>H29</f>
        <v>100</v>
      </c>
      <c r="V29" s="768" t="s">
        <v>17</v>
      </c>
      <c r="W29" s="769">
        <f>J29</f>
        <v>100</v>
      </c>
      <c r="X29" s="770"/>
      <c r="Y29" s="3233"/>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33"/>
      <c r="Q30" s="1793"/>
      <c r="R30" s="768"/>
      <c r="S30" s="769"/>
      <c r="T30" s="768"/>
      <c r="U30" s="769"/>
      <c r="V30" s="768"/>
      <c r="W30" s="769"/>
      <c r="X30" s="770"/>
      <c r="Y30" s="3233"/>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3"/>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3"/>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3"/>
      <c r="Q32" s="1808" t="str">
        <f t="shared" si="8"/>
        <v>毗邻道路的类型与等级</v>
      </c>
      <c r="R32" s="772" t="s">
        <v>17</v>
      </c>
      <c r="S32" s="773">
        <f t="shared" si="10"/>
        <v>100</v>
      </c>
      <c r="T32" s="772" t="s">
        <v>17</v>
      </c>
      <c r="U32" s="773">
        <f t="shared" si="11"/>
        <v>100</v>
      </c>
      <c r="V32" s="772" t="s">
        <v>17</v>
      </c>
      <c r="W32" s="773">
        <f t="shared" si="12"/>
        <v>100</v>
      </c>
      <c r="X32" s="1811"/>
      <c r="Y32" s="3233"/>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33"/>
      <c r="Q33" s="1808"/>
      <c r="R33" s="772"/>
      <c r="S33" s="773"/>
      <c r="T33" s="772"/>
      <c r="U33" s="773"/>
      <c r="V33" s="772"/>
      <c r="W33" s="773"/>
      <c r="X33" s="1811"/>
      <c r="Y33" s="3233"/>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3"/>
      <c r="Q34" s="1808" t="str">
        <f t="shared" si="8"/>
        <v>土地级别</v>
      </c>
      <c r="R34" s="772" t="s">
        <v>17</v>
      </c>
      <c r="S34" s="773">
        <f t="shared" si="10"/>
        <v>100</v>
      </c>
      <c r="T34" s="772" t="s">
        <v>17</v>
      </c>
      <c r="U34" s="773">
        <f t="shared" si="11"/>
        <v>100</v>
      </c>
      <c r="V34" s="772" t="s">
        <v>17</v>
      </c>
      <c r="W34" s="773">
        <f t="shared" si="12"/>
        <v>100</v>
      </c>
      <c r="X34" s="1811"/>
      <c r="Y34" s="3233"/>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3"/>
      <c r="Q35" s="1808">
        <f t="shared" si="8"/>
        <v>111</v>
      </c>
      <c r="R35" s="772" t="s">
        <v>17</v>
      </c>
      <c r="S35" s="773">
        <f t="shared" si="10"/>
        <v>100</v>
      </c>
      <c r="T35" s="772" t="s">
        <v>17</v>
      </c>
      <c r="U35" s="773">
        <f t="shared" si="11"/>
        <v>100</v>
      </c>
      <c r="V35" s="772" t="s">
        <v>17</v>
      </c>
      <c r="W35" s="773">
        <f t="shared" si="12"/>
        <v>100</v>
      </c>
      <c r="X35" s="1811"/>
      <c r="Y35" s="3233"/>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7" t="s">
        <v>2566</v>
      </c>
      <c r="Q36" s="1808">
        <f t="shared" si="8"/>
        <v>111</v>
      </c>
      <c r="R36" s="772" t="s">
        <v>17</v>
      </c>
      <c r="S36" s="773">
        <f t="shared" si="10"/>
        <v>100</v>
      </c>
      <c r="T36" s="772" t="s">
        <v>17</v>
      </c>
      <c r="U36" s="773">
        <f t="shared" si="11"/>
        <v>100</v>
      </c>
      <c r="V36" s="772" t="s">
        <v>17</v>
      </c>
      <c r="W36" s="773">
        <f t="shared" si="12"/>
        <v>100</v>
      </c>
      <c r="X36" s="1811"/>
      <c r="Y36" s="3237"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7"/>
      <c r="Q37" s="1808">
        <f t="shared" si="8"/>
        <v>111</v>
      </c>
      <c r="R37" s="775" t="s">
        <v>17</v>
      </c>
      <c r="S37" s="776">
        <f t="shared" si="10"/>
        <v>100</v>
      </c>
      <c r="T37" s="775" t="s">
        <v>17</v>
      </c>
      <c r="U37" s="776">
        <f t="shared" si="11"/>
        <v>100</v>
      </c>
      <c r="V37" s="775" t="s">
        <v>17</v>
      </c>
      <c r="W37" s="776">
        <f t="shared" si="12"/>
        <v>100</v>
      </c>
      <c r="X37" s="777"/>
      <c r="Y37" s="3237"/>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37"/>
      <c r="Q38" s="1808" t="str">
        <f>B38</f>
        <v>宗地面积</v>
      </c>
      <c r="R38" s="772" t="s">
        <v>17</v>
      </c>
      <c r="S38" s="773" t="e">
        <f t="shared" si="10"/>
        <v>#N/A</v>
      </c>
      <c r="T38" s="772" t="s">
        <v>17</v>
      </c>
      <c r="U38" s="773" t="e">
        <f t="shared" si="11"/>
        <v>#N/A</v>
      </c>
      <c r="V38" s="772" t="s">
        <v>17</v>
      </c>
      <c r="W38" s="773" t="e">
        <f t="shared" si="12"/>
        <v>#N/A</v>
      </c>
      <c r="X38" s="1811"/>
      <c r="Y38" s="3237"/>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37"/>
      <c r="Q39" s="1808" t="str">
        <f t="shared" ref="Q39:Q45" si="14">B39</f>
        <v>宗地形状</v>
      </c>
      <c r="R39" s="772" t="s">
        <v>17</v>
      </c>
      <c r="S39" s="773">
        <f t="shared" si="10"/>
        <v>100</v>
      </c>
      <c r="T39" s="772" t="s">
        <v>17</v>
      </c>
      <c r="U39" s="773">
        <f t="shared" si="11"/>
        <v>100</v>
      </c>
      <c r="V39" s="772" t="s">
        <v>17</v>
      </c>
      <c r="W39" s="773">
        <f t="shared" si="12"/>
        <v>100</v>
      </c>
      <c r="X39" s="1811"/>
      <c r="Y39" s="3237"/>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37"/>
      <c r="Q40" s="1808" t="str">
        <f t="shared" si="14"/>
        <v>临街宽度及深度</v>
      </c>
      <c r="R40" s="772" t="s">
        <v>17</v>
      </c>
      <c r="S40" s="773">
        <f t="shared" si="10"/>
        <v>100</v>
      </c>
      <c r="T40" s="772" t="s">
        <v>17</v>
      </c>
      <c r="U40" s="773">
        <f t="shared" si="11"/>
        <v>100</v>
      </c>
      <c r="V40" s="772" t="s">
        <v>17</v>
      </c>
      <c r="W40" s="773">
        <f t="shared" si="12"/>
        <v>100</v>
      </c>
      <c r="X40" s="1811"/>
      <c r="Y40" s="3237"/>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37"/>
      <c r="Q41" s="1808" t="str">
        <f t="shared" si="14"/>
        <v>宗地开发程度</v>
      </c>
      <c r="R41" s="768" t="s">
        <v>17</v>
      </c>
      <c r="S41" s="769">
        <f t="shared" si="10"/>
        <v>100</v>
      </c>
      <c r="T41" s="768" t="s">
        <v>17</v>
      </c>
      <c r="U41" s="769">
        <f t="shared" si="11"/>
        <v>100</v>
      </c>
      <c r="V41" s="768" t="s">
        <v>17</v>
      </c>
      <c r="W41" s="769">
        <f t="shared" si="12"/>
        <v>100</v>
      </c>
      <c r="X41" s="770"/>
      <c r="Y41" s="3237"/>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37" t="s">
        <v>2566</v>
      </c>
      <c r="Q42" s="1808" t="str">
        <f t="shared" si="14"/>
        <v>工程地质条件</v>
      </c>
      <c r="R42" s="772" t="s">
        <v>17</v>
      </c>
      <c r="S42" s="773">
        <f t="shared" si="10"/>
        <v>100</v>
      </c>
      <c r="T42" s="772" t="s">
        <v>17</v>
      </c>
      <c r="U42" s="773">
        <f t="shared" si="11"/>
        <v>100</v>
      </c>
      <c r="V42" s="772" t="s">
        <v>17</v>
      </c>
      <c r="W42" s="773">
        <f t="shared" si="12"/>
        <v>100</v>
      </c>
      <c r="X42" s="1811"/>
      <c r="Y42" s="3237"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7"/>
      <c r="Q43" s="1808">
        <f t="shared" si="14"/>
        <v>111</v>
      </c>
      <c r="R43" s="772" t="s">
        <v>17</v>
      </c>
      <c r="S43" s="773">
        <f t="shared" si="10"/>
        <v>100</v>
      </c>
      <c r="T43" s="772" t="s">
        <v>17</v>
      </c>
      <c r="U43" s="773">
        <f t="shared" si="11"/>
        <v>100</v>
      </c>
      <c r="V43" s="772" t="s">
        <v>17</v>
      </c>
      <c r="W43" s="773">
        <f t="shared" si="12"/>
        <v>100</v>
      </c>
      <c r="X43" s="1811"/>
      <c r="Y43" s="3237"/>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7"/>
      <c r="Q44" s="1808">
        <f t="shared" si="14"/>
        <v>111</v>
      </c>
      <c r="R44" s="772" t="s">
        <v>17</v>
      </c>
      <c r="S44" s="773">
        <f t="shared" si="10"/>
        <v>100</v>
      </c>
      <c r="T44" s="772" t="s">
        <v>17</v>
      </c>
      <c r="U44" s="773">
        <f t="shared" si="11"/>
        <v>100</v>
      </c>
      <c r="V44" s="772" t="s">
        <v>17</v>
      </c>
      <c r="W44" s="773">
        <f t="shared" si="12"/>
        <v>100</v>
      </c>
      <c r="X44" s="1811"/>
      <c r="Y44" s="3237"/>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7"/>
      <c r="Q45" s="1808">
        <f t="shared" si="14"/>
        <v>111</v>
      </c>
      <c r="R45" s="775" t="s">
        <v>17</v>
      </c>
      <c r="S45" s="776">
        <f t="shared" si="10"/>
        <v>100</v>
      </c>
      <c r="T45" s="775" t="s">
        <v>17</v>
      </c>
      <c r="U45" s="776">
        <f t="shared" si="11"/>
        <v>100</v>
      </c>
      <c r="V45" s="775" t="s">
        <v>17</v>
      </c>
      <c r="W45" s="776">
        <f t="shared" si="12"/>
        <v>100</v>
      </c>
      <c r="X45" s="777"/>
      <c r="Y45" s="3237"/>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25" t="str">
        <f>A46</f>
        <v>成交单价</v>
      </c>
      <c r="Q46" s="3225"/>
      <c r="R46" s="3239">
        <f>E46</f>
        <v>0</v>
      </c>
      <c r="S46" s="3239"/>
      <c r="T46" s="3239">
        <f>G46</f>
        <v>0</v>
      </c>
      <c r="U46" s="3239"/>
      <c r="V46" s="3239">
        <f>I46</f>
        <v>0</v>
      </c>
      <c r="W46" s="3239"/>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25" t="str">
        <f>A47</f>
        <v>比较价值（元/平方米）</v>
      </c>
      <c r="Q47" s="3225"/>
      <c r="R47" s="3318" t="e">
        <f>ROUND(PRODUCT(R46,AA7:AA45),0)</f>
        <v>#DIV/0!</v>
      </c>
      <c r="S47" s="3318"/>
      <c r="T47" s="3318" t="e">
        <f>ROUND(PRODUCT(T46,AB7:AB45),0)</f>
        <v>#DIV/0!</v>
      </c>
      <c r="U47" s="3318"/>
      <c r="V47" s="3318" t="e">
        <f>ROUND(PRODUCT(V46,AC7:AC45),0)</f>
        <v>#DIV/0!</v>
      </c>
      <c r="W47" s="3318"/>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27" t="str">
        <f>A48</f>
        <v>估价对象XX用房的比较价值（楼面单价，元/平方米）</v>
      </c>
      <c r="Q48" s="3228"/>
      <c r="R48" s="3319" t="e">
        <f>ROUND(AVERAGE(R47:V47),0)</f>
        <v>#DIV/0!</v>
      </c>
      <c r="S48" s="3319"/>
      <c r="T48" s="3319"/>
      <c r="U48" s="3319"/>
      <c r="V48" s="3319"/>
      <c r="W48" s="331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4" t="s">
        <v>2765</v>
      </c>
      <c r="H55" s="3320"/>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0"/>
      <c r="H56" s="3225"/>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1"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1"/>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1"/>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1"/>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322" t="s">
        <v>2798</v>
      </c>
      <c r="D6" s="3323"/>
      <c r="E6" s="3324" t="s">
        <v>2798</v>
      </c>
      <c r="F6" s="3325"/>
      <c r="G6" s="3322" t="s">
        <v>2798</v>
      </c>
      <c r="H6" s="3323"/>
      <c r="I6" s="3322" t="s">
        <v>2798</v>
      </c>
      <c r="J6" s="3323"/>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25"/>
      <c r="Q10" s="1793" t="str">
        <f t="shared" si="6"/>
        <v>土地使用年限（年）</v>
      </c>
      <c r="R10" s="768" t="s">
        <v>17</v>
      </c>
      <c r="S10" s="769">
        <f t="shared" si="0"/>
        <v>104</v>
      </c>
      <c r="T10" s="768" t="s">
        <v>17</v>
      </c>
      <c r="U10" s="769">
        <f t="shared" si="1"/>
        <v>104</v>
      </c>
      <c r="V10" s="768" t="s">
        <v>17</v>
      </c>
      <c r="W10" s="769">
        <f t="shared" si="2"/>
        <v>104</v>
      </c>
      <c r="X10" s="770"/>
      <c r="Y10" s="3080"/>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33"/>
      <c r="Q16" s="1808"/>
      <c r="R16" s="772"/>
      <c r="S16" s="773"/>
      <c r="T16" s="772"/>
      <c r="U16" s="773"/>
      <c r="V16" s="772"/>
      <c r="W16" s="773"/>
      <c r="X16" s="1811"/>
      <c r="Y16" s="3233"/>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33"/>
      <c r="Q18" s="1808"/>
      <c r="R18" s="772"/>
      <c r="S18" s="773"/>
      <c r="T18" s="772"/>
      <c r="U18" s="773"/>
      <c r="V18" s="772"/>
      <c r="W18" s="773"/>
      <c r="X18" s="1811"/>
      <c r="Y18" s="3233"/>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3"/>
      <c r="Q19" s="1808" t="str">
        <f t="shared" ref="Q19:Q33" si="8">B19</f>
        <v>区域土地利用方向</v>
      </c>
      <c r="R19" s="772" t="s">
        <v>17</v>
      </c>
      <c r="S19" s="773">
        <f>F19</f>
        <v>100</v>
      </c>
      <c r="T19" s="772" t="s">
        <v>17</v>
      </c>
      <c r="U19" s="773">
        <f>H19</f>
        <v>100</v>
      </c>
      <c r="V19" s="772" t="s">
        <v>17</v>
      </c>
      <c r="W19" s="773">
        <f>J19</f>
        <v>100</v>
      </c>
      <c r="X19" s="1811"/>
      <c r="Y19" s="3233"/>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33"/>
      <c r="Q20" s="1808"/>
      <c r="R20" s="772"/>
      <c r="S20" s="773"/>
      <c r="T20" s="772"/>
      <c r="U20" s="773"/>
      <c r="V20" s="772"/>
      <c r="W20" s="773"/>
      <c r="X20" s="1811"/>
      <c r="Y20" s="3233"/>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3"/>
      <c r="Q21" s="1808" t="str">
        <f t="shared" si="8"/>
        <v>环境状况</v>
      </c>
      <c r="R21" s="772" t="s">
        <v>17</v>
      </c>
      <c r="S21" s="773">
        <f>F21</f>
        <v>100</v>
      </c>
      <c r="T21" s="772" t="s">
        <v>17</v>
      </c>
      <c r="U21" s="773">
        <f>H21</f>
        <v>100</v>
      </c>
      <c r="V21" s="772" t="s">
        <v>17</v>
      </c>
      <c r="W21" s="773">
        <f>J21</f>
        <v>100</v>
      </c>
      <c r="X21" s="1811"/>
      <c r="Y21" s="3233"/>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33"/>
      <c r="Q22" s="1808"/>
      <c r="R22" s="772"/>
      <c r="S22" s="773"/>
      <c r="T22" s="772"/>
      <c r="U22" s="773"/>
      <c r="V22" s="772"/>
      <c r="W22" s="773"/>
      <c r="X22" s="1811"/>
      <c r="Y22" s="3233"/>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3"/>
      <c r="Q23" s="1793" t="str">
        <f t="shared" si="8"/>
        <v>公共配套设施</v>
      </c>
      <c r="R23" s="768" t="s">
        <v>17</v>
      </c>
      <c r="S23" s="769">
        <f>F23</f>
        <v>100</v>
      </c>
      <c r="T23" s="768" t="s">
        <v>17</v>
      </c>
      <c r="U23" s="769">
        <f>H23</f>
        <v>100</v>
      </c>
      <c r="V23" s="768" t="s">
        <v>17</v>
      </c>
      <c r="W23" s="769">
        <f>J23</f>
        <v>100</v>
      </c>
      <c r="X23" s="770"/>
      <c r="Y23" s="3233"/>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33"/>
      <c r="Q24" s="1793"/>
      <c r="R24" s="768"/>
      <c r="S24" s="769"/>
      <c r="T24" s="768"/>
      <c r="U24" s="769"/>
      <c r="V24" s="768"/>
      <c r="W24" s="769"/>
      <c r="X24" s="770"/>
      <c r="Y24" s="3233"/>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3"/>
      <c r="Q25" s="1793" t="str">
        <f t="shared" ref="Q25" si="9">B25</f>
        <v>基础设施水平</v>
      </c>
      <c r="R25" s="768" t="s">
        <v>17</v>
      </c>
      <c r="S25" s="769">
        <f>F25</f>
        <v>100</v>
      </c>
      <c r="T25" s="768" t="s">
        <v>17</v>
      </c>
      <c r="U25" s="769">
        <f>H25</f>
        <v>100</v>
      </c>
      <c r="V25" s="768" t="s">
        <v>17</v>
      </c>
      <c r="W25" s="769">
        <f>J25</f>
        <v>100</v>
      </c>
      <c r="X25" s="770"/>
      <c r="Y25" s="3233"/>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33"/>
      <c r="Q26" s="1793"/>
      <c r="R26" s="768"/>
      <c r="S26" s="769"/>
      <c r="T26" s="768"/>
      <c r="U26" s="769"/>
      <c r="V26" s="768"/>
      <c r="W26" s="769"/>
      <c r="X26" s="770"/>
      <c r="Y26" s="3233"/>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3"/>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3"/>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3"/>
      <c r="Q28" s="1808" t="str">
        <f t="shared" si="8"/>
        <v>毗邻道路的类型与等级</v>
      </c>
      <c r="R28" s="772" t="s">
        <v>17</v>
      </c>
      <c r="S28" s="773">
        <f t="shared" si="10"/>
        <v>100</v>
      </c>
      <c r="T28" s="772" t="s">
        <v>17</v>
      </c>
      <c r="U28" s="773">
        <f t="shared" si="11"/>
        <v>100</v>
      </c>
      <c r="V28" s="772" t="s">
        <v>17</v>
      </c>
      <c r="W28" s="773">
        <f t="shared" si="12"/>
        <v>100</v>
      </c>
      <c r="X28" s="1811"/>
      <c r="Y28" s="3233"/>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33"/>
      <c r="Q29" s="1808"/>
      <c r="R29" s="772"/>
      <c r="S29" s="773"/>
      <c r="T29" s="772"/>
      <c r="U29" s="773"/>
      <c r="V29" s="772"/>
      <c r="W29" s="773"/>
      <c r="X29" s="1811"/>
      <c r="Y29" s="3233"/>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3"/>
      <c r="Q30" s="1808" t="str">
        <f t="shared" si="8"/>
        <v>土地级别</v>
      </c>
      <c r="R30" s="772" t="s">
        <v>17</v>
      </c>
      <c r="S30" s="773">
        <f t="shared" si="10"/>
        <v>100</v>
      </c>
      <c r="T30" s="772" t="s">
        <v>17</v>
      </c>
      <c r="U30" s="773">
        <f t="shared" si="11"/>
        <v>100</v>
      </c>
      <c r="V30" s="772" t="s">
        <v>17</v>
      </c>
      <c r="W30" s="773">
        <f t="shared" si="12"/>
        <v>100</v>
      </c>
      <c r="X30" s="1811"/>
      <c r="Y30" s="3233"/>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3"/>
      <c r="Q31" s="1808">
        <f t="shared" si="8"/>
        <v>111</v>
      </c>
      <c r="R31" s="772" t="s">
        <v>17</v>
      </c>
      <c r="S31" s="773">
        <f t="shared" si="10"/>
        <v>100</v>
      </c>
      <c r="T31" s="772" t="s">
        <v>17</v>
      </c>
      <c r="U31" s="773">
        <f t="shared" si="11"/>
        <v>100</v>
      </c>
      <c r="V31" s="772" t="s">
        <v>17</v>
      </c>
      <c r="W31" s="773">
        <f t="shared" si="12"/>
        <v>100</v>
      </c>
      <c r="X31" s="1811"/>
      <c r="Y31" s="3233"/>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7" t="s">
        <v>2566</v>
      </c>
      <c r="Q32" s="1808">
        <f t="shared" si="8"/>
        <v>111</v>
      </c>
      <c r="R32" s="772" t="s">
        <v>17</v>
      </c>
      <c r="S32" s="773">
        <f t="shared" si="10"/>
        <v>100</v>
      </c>
      <c r="T32" s="772" t="s">
        <v>17</v>
      </c>
      <c r="U32" s="773">
        <f t="shared" si="11"/>
        <v>100</v>
      </c>
      <c r="V32" s="772" t="s">
        <v>17</v>
      </c>
      <c r="W32" s="773">
        <f t="shared" si="12"/>
        <v>100</v>
      </c>
      <c r="X32" s="1811"/>
      <c r="Y32" s="3237"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7"/>
      <c r="Q33" s="1808">
        <f t="shared" si="8"/>
        <v>111</v>
      </c>
      <c r="R33" s="775" t="s">
        <v>17</v>
      </c>
      <c r="S33" s="776">
        <f t="shared" si="10"/>
        <v>100</v>
      </c>
      <c r="T33" s="775" t="s">
        <v>17</v>
      </c>
      <c r="U33" s="776">
        <f t="shared" si="11"/>
        <v>100</v>
      </c>
      <c r="V33" s="775" t="s">
        <v>17</v>
      </c>
      <c r="W33" s="776">
        <f t="shared" si="12"/>
        <v>100</v>
      </c>
      <c r="X33" s="777"/>
      <c r="Y33" s="3237"/>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7"/>
      <c r="Q34" s="1808" t="str">
        <f>B34</f>
        <v>宗地面积</v>
      </c>
      <c r="R34" s="772" t="s">
        <v>17</v>
      </c>
      <c r="S34" s="773" t="e">
        <f t="shared" si="10"/>
        <v>#N/A</v>
      </c>
      <c r="T34" s="772" t="s">
        <v>17</v>
      </c>
      <c r="U34" s="773" t="e">
        <f t="shared" si="11"/>
        <v>#N/A</v>
      </c>
      <c r="V34" s="772" t="s">
        <v>17</v>
      </c>
      <c r="W34" s="773" t="e">
        <f t="shared" si="12"/>
        <v>#N/A</v>
      </c>
      <c r="X34" s="1811"/>
      <c r="Y34" s="3237"/>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37"/>
      <c r="Q35" s="1808" t="str">
        <f t="shared" ref="Q35:Q40" si="14">B35</f>
        <v>宗地形状</v>
      </c>
      <c r="R35" s="772" t="s">
        <v>17</v>
      </c>
      <c r="S35" s="773">
        <f t="shared" si="10"/>
        <v>100</v>
      </c>
      <c r="T35" s="772" t="s">
        <v>17</v>
      </c>
      <c r="U35" s="773">
        <f t="shared" si="11"/>
        <v>100</v>
      </c>
      <c r="V35" s="772" t="s">
        <v>17</v>
      </c>
      <c r="W35" s="773">
        <f t="shared" si="12"/>
        <v>100</v>
      </c>
      <c r="X35" s="1811"/>
      <c r="Y35" s="3237"/>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37"/>
      <c r="Q36" s="1808" t="str">
        <f t="shared" si="14"/>
        <v>宗地开发程度</v>
      </c>
      <c r="R36" s="768" t="s">
        <v>17</v>
      </c>
      <c r="S36" s="769">
        <f t="shared" si="10"/>
        <v>100</v>
      </c>
      <c r="T36" s="768" t="s">
        <v>17</v>
      </c>
      <c r="U36" s="769">
        <f t="shared" si="11"/>
        <v>100</v>
      </c>
      <c r="V36" s="768" t="s">
        <v>17</v>
      </c>
      <c r="W36" s="769">
        <f t="shared" si="12"/>
        <v>100</v>
      </c>
      <c r="X36" s="770"/>
      <c r="Y36" s="3237"/>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37" t="s">
        <v>2566</v>
      </c>
      <c r="Q37" s="1808" t="str">
        <f t="shared" si="14"/>
        <v>工程地质条件</v>
      </c>
      <c r="R37" s="772" t="s">
        <v>17</v>
      </c>
      <c r="S37" s="773">
        <f t="shared" si="10"/>
        <v>100</v>
      </c>
      <c r="T37" s="772" t="s">
        <v>17</v>
      </c>
      <c r="U37" s="773">
        <f t="shared" si="11"/>
        <v>100</v>
      </c>
      <c r="V37" s="772" t="s">
        <v>17</v>
      </c>
      <c r="W37" s="773">
        <f t="shared" si="12"/>
        <v>100</v>
      </c>
      <c r="X37" s="1811"/>
      <c r="Y37" s="3237"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7"/>
      <c r="Q38" s="1808">
        <f t="shared" si="14"/>
        <v>111</v>
      </c>
      <c r="R38" s="772" t="s">
        <v>17</v>
      </c>
      <c r="S38" s="773">
        <f t="shared" si="10"/>
        <v>100</v>
      </c>
      <c r="T38" s="772" t="s">
        <v>17</v>
      </c>
      <c r="U38" s="773">
        <f t="shared" si="11"/>
        <v>100</v>
      </c>
      <c r="V38" s="772" t="s">
        <v>17</v>
      </c>
      <c r="W38" s="773">
        <f t="shared" si="12"/>
        <v>100</v>
      </c>
      <c r="X38" s="1811"/>
      <c r="Y38" s="3237"/>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7"/>
      <c r="Q39" s="1808">
        <f t="shared" si="14"/>
        <v>111</v>
      </c>
      <c r="R39" s="772" t="s">
        <v>17</v>
      </c>
      <c r="S39" s="773">
        <f t="shared" si="10"/>
        <v>100</v>
      </c>
      <c r="T39" s="772" t="s">
        <v>17</v>
      </c>
      <c r="U39" s="773">
        <f t="shared" si="11"/>
        <v>100</v>
      </c>
      <c r="V39" s="772" t="s">
        <v>17</v>
      </c>
      <c r="W39" s="773">
        <f t="shared" si="12"/>
        <v>100</v>
      </c>
      <c r="X39" s="1811"/>
      <c r="Y39" s="3237"/>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7"/>
      <c r="Q40" s="1808">
        <f t="shared" si="14"/>
        <v>111</v>
      </c>
      <c r="R40" s="775" t="s">
        <v>17</v>
      </c>
      <c r="S40" s="776">
        <f t="shared" si="10"/>
        <v>100</v>
      </c>
      <c r="T40" s="775" t="s">
        <v>17</v>
      </c>
      <c r="U40" s="776">
        <f t="shared" si="11"/>
        <v>100</v>
      </c>
      <c r="V40" s="775" t="s">
        <v>17</v>
      </c>
      <c r="W40" s="776">
        <f t="shared" si="12"/>
        <v>100</v>
      </c>
      <c r="X40" s="777"/>
      <c r="Y40" s="3237"/>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25" t="str">
        <f>A41</f>
        <v>成交单价</v>
      </c>
      <c r="Q41" s="3225"/>
      <c r="R41" s="3239">
        <f>E41</f>
        <v>0</v>
      </c>
      <c r="S41" s="3239"/>
      <c r="T41" s="3239">
        <f>G41</f>
        <v>0</v>
      </c>
      <c r="U41" s="3239"/>
      <c r="V41" s="3239">
        <f>I41</f>
        <v>0</v>
      </c>
      <c r="W41" s="3239"/>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25" t="str">
        <f>A42</f>
        <v>比较价值（元/平方米）</v>
      </c>
      <c r="Q42" s="3225"/>
      <c r="R42" s="3318" t="e">
        <f>ROUND(PRODUCT(R41,AA7:AA40),0)</f>
        <v>#DIV/0!</v>
      </c>
      <c r="S42" s="3318"/>
      <c r="T42" s="3318" t="e">
        <f>ROUND(PRODUCT(T41,AB7:AB40),0)</f>
        <v>#DIV/0!</v>
      </c>
      <c r="U42" s="3318"/>
      <c r="V42" s="3318" t="e">
        <f>ROUND(PRODUCT(V41,AC7:AC40),0)</f>
        <v>#DIV/0!</v>
      </c>
      <c r="W42" s="331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27" t="str">
        <f>A43</f>
        <v>估价对象XX用房的比较价值（楼面单价，元/平方米）</v>
      </c>
      <c r="Q43" s="3228"/>
      <c r="R43" s="3319" t="e">
        <f>ROUND(AVERAGE(R42:V42),0)</f>
        <v>#DIV/0!</v>
      </c>
      <c r="S43" s="3319"/>
      <c r="T43" s="3319"/>
      <c r="U43" s="3319"/>
      <c r="V43" s="3319"/>
      <c r="W43" s="331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4" t="s">
        <v>2765</v>
      </c>
      <c r="H50" s="3320"/>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0"/>
      <c r="H51" s="3225"/>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1"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1"/>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1"/>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1"/>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14578</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4583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604</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60</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59</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123</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123</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2" t="s">
        <v>2410</v>
      </c>
    </row>
    <row r="43" spans="1:7" ht="13.5" customHeight="1">
      <c r="A43" s="952" t="s">
        <v>792</v>
      </c>
      <c r="B43" s="259" t="s">
        <v>2411</v>
      </c>
      <c r="C43" s="282">
        <f ca="1">ROUND(IF('数据-取费表'!B22&lt;=1,C39*F22*'数据-取费表'!B21/2,C39*(POWER((1+F22),'数据-取费表'!B21/2)-1)),0)</f>
        <v>9</v>
      </c>
      <c r="D43" s="282"/>
      <c r="E43" s="282"/>
      <c r="F43" s="283"/>
      <c r="G43" s="3223"/>
    </row>
    <row r="44" spans="1:7" ht="13.5" customHeight="1">
      <c r="A44" s="952" t="s">
        <v>793</v>
      </c>
      <c r="B44" s="259" t="s">
        <v>2412</v>
      </c>
      <c r="C44" s="282">
        <f ca="1">ROUND(IF('数据-取费表'!B22&lt;=1,C40*F22*'数据-取费表'!B21/2,C40*(POWER((1+F22),'数据-取费表'!B21/2)-1)),4)</f>
        <v>1E-3</v>
      </c>
      <c r="D44" s="282"/>
      <c r="E44" s="282"/>
      <c r="F44" s="283"/>
      <c r="G44" s="3224"/>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14578</v>
      </c>
      <c r="D52" s="310"/>
      <c r="E52" s="310"/>
      <c r="F52" s="310"/>
      <c r="G52" s="312"/>
    </row>
    <row r="55" spans="1:7" ht="15">
      <c r="B55" s="314" t="s">
        <v>2428</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0</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29"/>
      <c r="B4" s="3330"/>
      <c r="C4" s="3330"/>
      <c r="D4" s="3331"/>
      <c r="E4" s="3331"/>
      <c r="F4" s="3331"/>
      <c r="G4" s="3331"/>
      <c r="H4" s="3331"/>
      <c r="I4" s="3331"/>
      <c r="J4" s="3332"/>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33"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34"/>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26" t="s">
        <v>2840</v>
      </c>
      <c r="X8" s="3327"/>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34"/>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28"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4"/>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2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4"/>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28"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33"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28"/>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35"/>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28"/>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35"/>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36"/>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33"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34"/>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3091</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0.97330000000000005</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44.68</v>
      </c>
      <c r="J20" s="937">
        <f>IF(E2="住宅",70,IF(E2="商业",40,50))</f>
        <v>50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31807.97</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43"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4"/>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4"/>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45"/>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0.97330000000000005</v>
      </c>
      <c r="D41" s="200" t="s">
        <v>2890</v>
      </c>
      <c r="E41" s="2942">
        <f ca="1">G20</f>
        <v>5.1999999999999998E-2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37" t="s">
        <v>2972</v>
      </c>
      <c r="B90" s="3337"/>
      <c r="C90" s="3337"/>
      <c r="D90" s="3337"/>
      <c r="E90" s="3337"/>
      <c r="F90" s="3337"/>
      <c r="G90" s="3337"/>
      <c r="H90" s="3337"/>
      <c r="I90" s="3337"/>
      <c r="J90" s="3337"/>
      <c r="K90" s="2892"/>
      <c r="L90" s="2892"/>
      <c r="M90" s="2892"/>
      <c r="N90" s="2892"/>
    </row>
    <row r="91" spans="1:37">
      <c r="A91" s="3339" t="s">
        <v>2973</v>
      </c>
      <c r="B91" s="3339" t="s">
        <v>2974</v>
      </c>
      <c r="C91" s="2846" t="s">
        <v>2975</v>
      </c>
      <c r="D91" s="2847"/>
      <c r="E91" s="2847"/>
      <c r="F91" s="2847"/>
      <c r="G91" s="2847"/>
      <c r="H91" s="2847"/>
      <c r="I91" s="2847"/>
      <c r="J91" s="2893"/>
      <c r="K91" s="2894"/>
      <c r="L91" s="2894"/>
      <c r="M91" s="2894"/>
      <c r="N91" s="2894"/>
    </row>
    <row r="92" spans="1:37">
      <c r="A92" s="3339"/>
      <c r="B92" s="3339"/>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4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4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4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4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4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4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41"/>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4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40"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41"/>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41"/>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41"/>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41"/>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41"/>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41"/>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41"/>
      <c r="B108" s="3195"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42"/>
      <c r="B109" s="3196"/>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38" t="s">
        <v>2980</v>
      </c>
      <c r="B110" s="3338"/>
      <c r="C110" s="3338"/>
      <c r="D110" s="3338"/>
      <c r="E110" s="3338"/>
      <c r="F110" s="3338"/>
      <c r="G110" s="3338"/>
      <c r="H110" s="3338"/>
      <c r="I110" s="3338"/>
      <c r="J110" s="3338"/>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6" t="s">
        <v>183</v>
      </c>
      <c r="B18" s="880" t="s">
        <v>560</v>
      </c>
      <c r="C18" s="881" t="s">
        <v>561</v>
      </c>
      <c r="D18" s="882"/>
      <c r="E18" s="880">
        <v>1</v>
      </c>
      <c r="F18" s="883" t="s">
        <v>562</v>
      </c>
      <c r="G18" s="884"/>
      <c r="H18" s="876"/>
      <c r="I18" s="876"/>
    </row>
    <row r="19" spans="1:9" s="885" customFormat="1" ht="19.5" customHeight="1">
      <c r="A19" s="3346"/>
      <c r="B19" s="3346" t="s">
        <v>563</v>
      </c>
      <c r="C19" s="881" t="s">
        <v>564</v>
      </c>
      <c r="D19" s="882"/>
      <c r="E19" s="880">
        <v>0.9</v>
      </c>
      <c r="F19" s="883" t="s">
        <v>565</v>
      </c>
      <c r="G19" s="884"/>
      <c r="H19" s="876"/>
      <c r="I19" s="876"/>
    </row>
    <row r="20" spans="1:9" s="885" customFormat="1" ht="19.5" customHeight="1">
      <c r="A20" s="3346"/>
      <c r="B20" s="3346"/>
      <c r="C20" s="881" t="s">
        <v>566</v>
      </c>
      <c r="D20" s="882"/>
      <c r="E20" s="880">
        <v>1.1000000000000001</v>
      </c>
      <c r="F20" s="883" t="s">
        <v>567</v>
      </c>
      <c r="G20" s="884"/>
      <c r="H20" s="876"/>
      <c r="I20" s="876"/>
    </row>
    <row r="21" spans="1:9" s="885" customFormat="1" ht="19.5" customHeight="1">
      <c r="A21" s="3346"/>
      <c r="B21" s="3346"/>
      <c r="C21" s="881" t="s">
        <v>568</v>
      </c>
      <c r="D21" s="882"/>
      <c r="E21" s="880">
        <v>0.8</v>
      </c>
      <c r="F21" s="883" t="s">
        <v>569</v>
      </c>
      <c r="G21" s="884"/>
      <c r="H21" s="876"/>
      <c r="I21" s="876"/>
    </row>
    <row r="22" spans="1:9" s="885" customFormat="1" ht="19.5" customHeight="1">
      <c r="A22" s="3346"/>
      <c r="B22" s="3346"/>
      <c r="C22" s="881" t="s">
        <v>570</v>
      </c>
      <c r="D22" s="882"/>
      <c r="E22" s="880">
        <v>0.5</v>
      </c>
      <c r="F22" s="883"/>
      <c r="G22" s="884"/>
      <c r="H22" s="876"/>
      <c r="I22" s="876"/>
    </row>
    <row r="23" spans="1:9" s="885" customFormat="1" ht="19.5" customHeight="1">
      <c r="A23" s="3346" t="s">
        <v>184</v>
      </c>
      <c r="B23" s="880" t="s">
        <v>560</v>
      </c>
      <c r="C23" s="881" t="s">
        <v>571</v>
      </c>
      <c r="D23" s="882"/>
      <c r="E23" s="880">
        <v>1</v>
      </c>
      <c r="F23" s="883" t="s">
        <v>572</v>
      </c>
      <c r="G23" s="884"/>
      <c r="H23" s="876"/>
      <c r="I23" s="876"/>
    </row>
    <row r="24" spans="1:9" s="885" customFormat="1" ht="19.5" customHeight="1">
      <c r="A24" s="3346"/>
      <c r="B24" s="3346" t="s">
        <v>563</v>
      </c>
      <c r="C24" s="881" t="s">
        <v>573</v>
      </c>
      <c r="D24" s="882"/>
      <c r="E24" s="880">
        <v>0.5</v>
      </c>
      <c r="F24" s="883"/>
      <c r="G24" s="884"/>
      <c r="H24" s="876"/>
      <c r="I24" s="876"/>
    </row>
    <row r="25" spans="1:9" s="885" customFormat="1" ht="19.5" customHeight="1">
      <c r="A25" s="3346"/>
      <c r="B25" s="3346"/>
      <c r="C25" s="881" t="s">
        <v>574</v>
      </c>
      <c r="D25" s="882"/>
      <c r="E25" s="880">
        <v>1.1000000000000001</v>
      </c>
      <c r="F25" s="883"/>
      <c r="G25" s="884"/>
      <c r="H25" s="876"/>
      <c r="I25" s="876"/>
    </row>
    <row r="26" spans="1:9" s="885" customFormat="1" ht="19.5" customHeight="1">
      <c r="A26" s="3346"/>
      <c r="B26" s="3346"/>
      <c r="C26" s="881" t="s">
        <v>575</v>
      </c>
      <c r="D26" s="882"/>
      <c r="E26" s="880">
        <v>1.1000000000000001</v>
      </c>
      <c r="F26" s="883"/>
      <c r="G26" s="884"/>
      <c r="H26" s="876"/>
      <c r="I26" s="876"/>
    </row>
    <row r="27" spans="1:9" s="885" customFormat="1" ht="19.5" customHeight="1">
      <c r="A27" s="3346"/>
      <c r="B27" s="3346"/>
      <c r="C27" s="881" t="s">
        <v>576</v>
      </c>
      <c r="D27" s="882"/>
      <c r="E27" s="880">
        <v>0.9</v>
      </c>
      <c r="F27" s="883" t="s">
        <v>577</v>
      </c>
      <c r="G27" s="884"/>
      <c r="H27" s="876"/>
      <c r="I27" s="876"/>
    </row>
    <row r="28" spans="1:9" s="885" customFormat="1" ht="19.5" customHeight="1">
      <c r="A28" s="3346"/>
      <c r="B28" s="3346"/>
      <c r="C28" s="881" t="s">
        <v>578</v>
      </c>
      <c r="D28" s="882"/>
      <c r="E28" s="880">
        <v>0.9</v>
      </c>
      <c r="F28" s="883" t="s">
        <v>579</v>
      </c>
      <c r="G28" s="884"/>
      <c r="H28" s="876"/>
      <c r="I28" s="876"/>
    </row>
    <row r="29" spans="1:9" s="885" customFormat="1" ht="19.5" customHeight="1">
      <c r="A29" s="3346"/>
      <c r="B29" s="3346"/>
      <c r="C29" s="881" t="s">
        <v>580</v>
      </c>
      <c r="D29" s="882"/>
      <c r="E29" s="880">
        <v>0.9</v>
      </c>
      <c r="F29" s="883" t="s">
        <v>581</v>
      </c>
      <c r="G29" s="884"/>
      <c r="H29" s="876"/>
      <c r="I29" s="876"/>
    </row>
    <row r="30" spans="1:9" s="885" customFormat="1" ht="19.5" customHeight="1">
      <c r="A30" s="3346"/>
      <c r="B30" s="3346"/>
      <c r="C30" s="881" t="s">
        <v>582</v>
      </c>
      <c r="D30" s="882"/>
      <c r="E30" s="880">
        <v>0.9</v>
      </c>
      <c r="F30" s="883" t="s">
        <v>583</v>
      </c>
      <c r="G30" s="884"/>
      <c r="H30" s="876"/>
      <c r="I30" s="876"/>
    </row>
    <row r="31" spans="1:9" s="885" customFormat="1" ht="19.5" customHeight="1">
      <c r="A31" s="3346"/>
      <c r="B31" s="3346"/>
      <c r="C31" s="881" t="s">
        <v>584</v>
      </c>
      <c r="D31" s="882"/>
      <c r="E31" s="880">
        <v>0.8</v>
      </c>
      <c r="F31" s="883" t="s">
        <v>585</v>
      </c>
      <c r="G31" s="884"/>
      <c r="H31" s="876"/>
      <c r="I31" s="876"/>
    </row>
    <row r="32" spans="1:9" s="885" customFormat="1" ht="19.5" customHeight="1">
      <c r="A32" s="3346"/>
      <c r="B32" s="3346"/>
      <c r="C32" s="881" t="s">
        <v>586</v>
      </c>
      <c r="D32" s="882"/>
      <c r="E32" s="880">
        <v>0.8</v>
      </c>
      <c r="F32" s="883" t="s">
        <v>587</v>
      </c>
      <c r="G32" s="884"/>
      <c r="H32" s="876"/>
      <c r="I32" s="876"/>
    </row>
    <row r="33" spans="1:9" s="885" customFormat="1" ht="19.5" customHeight="1">
      <c r="A33" s="3346" t="s">
        <v>185</v>
      </c>
      <c r="B33" s="880" t="s">
        <v>560</v>
      </c>
      <c r="C33" s="881" t="s">
        <v>588</v>
      </c>
      <c r="D33" s="882"/>
      <c r="E33" s="880">
        <v>1</v>
      </c>
      <c r="F33" s="883" t="s">
        <v>589</v>
      </c>
      <c r="G33" s="884"/>
      <c r="H33" s="876"/>
      <c r="I33" s="876"/>
    </row>
    <row r="34" spans="1:9" s="885" customFormat="1" ht="19.5" customHeight="1">
      <c r="A34" s="3346"/>
      <c r="B34" s="880" t="s">
        <v>563</v>
      </c>
      <c r="C34" s="881" t="s">
        <v>590</v>
      </c>
      <c r="D34" s="882"/>
      <c r="E34" s="880">
        <v>1.5</v>
      </c>
      <c r="F34" s="883" t="s">
        <v>591</v>
      </c>
      <c r="G34" s="884"/>
      <c r="H34" s="876"/>
      <c r="I34" s="876"/>
    </row>
    <row r="35" spans="1:9" s="885" customFormat="1" ht="19.5" customHeight="1">
      <c r="A35" s="3346" t="s">
        <v>186</v>
      </c>
      <c r="B35" s="880" t="s">
        <v>560</v>
      </c>
      <c r="C35" s="881" t="s">
        <v>592</v>
      </c>
      <c r="D35" s="882"/>
      <c r="E35" s="880">
        <v>1</v>
      </c>
      <c r="F35" s="883" t="s">
        <v>593</v>
      </c>
      <c r="G35" s="884"/>
      <c r="H35" s="876"/>
      <c r="I35" s="876"/>
    </row>
    <row r="36" spans="1:9" s="885" customFormat="1" ht="19.5" customHeight="1">
      <c r="A36" s="3346"/>
      <c r="B36" s="3346" t="s">
        <v>563</v>
      </c>
      <c r="C36" s="881" t="s">
        <v>594</v>
      </c>
      <c r="D36" s="882"/>
      <c r="E36" s="880">
        <v>1</v>
      </c>
      <c r="F36" s="883" t="s">
        <v>595</v>
      </c>
      <c r="G36" s="884"/>
      <c r="H36" s="876"/>
      <c r="I36" s="876"/>
    </row>
    <row r="37" spans="1:9" s="885" customFormat="1" ht="19.5" customHeight="1">
      <c r="A37" s="3346"/>
      <c r="B37" s="3346"/>
      <c r="C37" s="881" t="s">
        <v>596</v>
      </c>
      <c r="D37" s="882"/>
      <c r="E37" s="880">
        <v>1.5</v>
      </c>
      <c r="F37" s="883" t="s">
        <v>597</v>
      </c>
      <c r="G37" s="884"/>
      <c r="H37" s="876"/>
      <c r="I37" s="876"/>
    </row>
    <row r="38" spans="1:9" s="885" customFormat="1" ht="19.5" customHeight="1">
      <c r="A38" s="3346"/>
      <c r="B38" s="3346"/>
      <c r="C38" s="881" t="s">
        <v>598</v>
      </c>
      <c r="D38" s="882"/>
      <c r="E38" s="880">
        <v>1</v>
      </c>
      <c r="F38" s="883" t="s">
        <v>599</v>
      </c>
      <c r="G38" s="884"/>
      <c r="H38" s="876"/>
      <c r="I38" s="876"/>
    </row>
    <row r="39" spans="1:9" s="885" customFormat="1" ht="19.5" customHeight="1">
      <c r="A39" s="3346"/>
      <c r="B39" s="334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6" t="s">
        <v>614</v>
      </c>
      <c r="C61" s="816" t="s">
        <v>615</v>
      </c>
      <c r="D61" s="816" t="s">
        <v>616</v>
      </c>
      <c r="E61" s="893">
        <v>0.5</v>
      </c>
      <c r="F61" s="880">
        <v>80</v>
      </c>
    </row>
    <row r="62" spans="1:8" s="876" customFormat="1" ht="24">
      <c r="A62" s="880">
        <v>2</v>
      </c>
      <c r="B62" s="3346"/>
      <c r="C62" s="816" t="s">
        <v>617</v>
      </c>
      <c r="D62" s="816" t="s">
        <v>618</v>
      </c>
      <c r="E62" s="893">
        <v>0.5</v>
      </c>
      <c r="F62" s="880">
        <v>80</v>
      </c>
    </row>
    <row r="63" spans="1:8" s="876" customFormat="1" ht="36">
      <c r="A63" s="880">
        <v>3</v>
      </c>
      <c r="B63" s="3346"/>
      <c r="C63" s="816" t="s">
        <v>619</v>
      </c>
      <c r="D63" s="816" t="s">
        <v>620</v>
      </c>
      <c r="E63" s="893">
        <v>0.5</v>
      </c>
      <c r="F63" s="880">
        <v>80</v>
      </c>
    </row>
    <row r="64" spans="1:8" s="876" customFormat="1" ht="36">
      <c r="A64" s="880">
        <v>4</v>
      </c>
      <c r="B64" s="3346"/>
      <c r="C64" s="816" t="s">
        <v>621</v>
      </c>
      <c r="D64" s="816" t="s">
        <v>622</v>
      </c>
      <c r="E64" s="893">
        <v>0.4</v>
      </c>
      <c r="F64" s="880">
        <v>60</v>
      </c>
    </row>
    <row r="65" spans="1:6" s="876" customFormat="1" ht="36">
      <c r="A65" s="880">
        <v>5</v>
      </c>
      <c r="B65" s="3346"/>
      <c r="C65" s="816" t="s">
        <v>623</v>
      </c>
      <c r="D65" s="816" t="s">
        <v>624</v>
      </c>
      <c r="E65" s="893">
        <v>0.2</v>
      </c>
      <c r="F65" s="880">
        <v>30</v>
      </c>
    </row>
    <row r="66" spans="1:6" s="876" customFormat="1" ht="36">
      <c r="A66" s="880">
        <v>6</v>
      </c>
      <c r="B66" s="3346"/>
      <c r="C66" s="816" t="s">
        <v>625</v>
      </c>
      <c r="D66" s="816" t="s">
        <v>626</v>
      </c>
      <c r="E66" s="893">
        <v>0.3</v>
      </c>
      <c r="F66" s="880">
        <v>50</v>
      </c>
    </row>
    <row r="67" spans="1:6" s="876" customFormat="1" ht="36">
      <c r="A67" s="880">
        <v>7</v>
      </c>
      <c r="B67" s="3346"/>
      <c r="C67" s="816" t="s">
        <v>627</v>
      </c>
      <c r="D67" s="816" t="s">
        <v>628</v>
      </c>
      <c r="E67" s="893">
        <v>0.2</v>
      </c>
      <c r="F67" s="880">
        <v>30</v>
      </c>
    </row>
    <row r="68" spans="1:6" s="876" customFormat="1" ht="36">
      <c r="A68" s="880">
        <v>8</v>
      </c>
      <c r="B68" s="3346"/>
      <c r="C68" s="816" t="s">
        <v>629</v>
      </c>
      <c r="D68" s="816" t="s">
        <v>630</v>
      </c>
      <c r="E68" s="893">
        <v>0.2</v>
      </c>
      <c r="F68" s="880">
        <v>30</v>
      </c>
    </row>
    <row r="69" spans="1:6" s="876" customFormat="1" ht="36">
      <c r="A69" s="880">
        <v>9</v>
      </c>
      <c r="B69" s="3346"/>
      <c r="C69" s="816" t="s">
        <v>631</v>
      </c>
      <c r="D69" s="816" t="s">
        <v>632</v>
      </c>
      <c r="E69" s="893">
        <v>0.2</v>
      </c>
      <c r="F69" s="880">
        <v>30</v>
      </c>
    </row>
    <row r="70" spans="1:6" s="876" customFormat="1" ht="48">
      <c r="A70" s="880">
        <v>10</v>
      </c>
      <c r="B70" s="3346"/>
      <c r="C70" s="816" t="s">
        <v>633</v>
      </c>
      <c r="D70" s="816" t="s">
        <v>634</v>
      </c>
      <c r="E70" s="893">
        <v>0.2</v>
      </c>
      <c r="F70" s="880">
        <v>30</v>
      </c>
    </row>
    <row r="71" spans="1:6" s="876" customFormat="1" ht="48">
      <c r="A71" s="880">
        <v>11</v>
      </c>
      <c r="B71" s="3346"/>
      <c r="C71" s="816" t="s">
        <v>635</v>
      </c>
      <c r="D71" s="816" t="s">
        <v>636</v>
      </c>
      <c r="E71" s="893">
        <v>0.2</v>
      </c>
      <c r="F71" s="880">
        <v>30</v>
      </c>
    </row>
    <row r="72" spans="1:6" s="876" customFormat="1" ht="36">
      <c r="A72" s="880">
        <v>12</v>
      </c>
      <c r="B72" s="3346"/>
      <c r="C72" s="816" t="s">
        <v>637</v>
      </c>
      <c r="D72" s="816" t="s">
        <v>638</v>
      </c>
      <c r="E72" s="893">
        <v>0.5</v>
      </c>
      <c r="F72" s="880">
        <v>80</v>
      </c>
    </row>
    <row r="73" spans="1:6" s="876" customFormat="1" ht="24">
      <c r="A73" s="880">
        <v>13</v>
      </c>
      <c r="B73" s="3346"/>
      <c r="C73" s="816" t="s">
        <v>639</v>
      </c>
      <c r="D73" s="816" t="s">
        <v>640</v>
      </c>
      <c r="E73" s="893">
        <v>0.4</v>
      </c>
      <c r="F73" s="880">
        <v>60</v>
      </c>
    </row>
    <row r="74" spans="1:6" s="876" customFormat="1" ht="24">
      <c r="A74" s="880">
        <v>14</v>
      </c>
      <c r="B74" s="3346"/>
      <c r="C74" s="816" t="s">
        <v>641</v>
      </c>
      <c r="D74" s="816" t="s">
        <v>642</v>
      </c>
      <c r="E74" s="893">
        <v>0.2</v>
      </c>
      <c r="F74" s="880">
        <v>30</v>
      </c>
    </row>
    <row r="75" spans="1:6" s="876" customFormat="1" ht="24">
      <c r="A75" s="880">
        <v>15</v>
      </c>
      <c r="B75" s="3346"/>
      <c r="C75" s="816" t="s">
        <v>643</v>
      </c>
      <c r="D75" s="816" t="s">
        <v>644</v>
      </c>
      <c r="E75" s="893">
        <v>0.2</v>
      </c>
      <c r="F75" s="880">
        <v>30</v>
      </c>
    </row>
    <row r="76" spans="1:6" s="876" customFormat="1" ht="24">
      <c r="A76" s="880">
        <v>16</v>
      </c>
      <c r="B76" s="3346" t="s">
        <v>645</v>
      </c>
      <c r="C76" s="816" t="s">
        <v>646</v>
      </c>
      <c r="D76" s="816" t="s">
        <v>647</v>
      </c>
      <c r="E76" s="893">
        <v>0.5</v>
      </c>
      <c r="F76" s="880">
        <v>80</v>
      </c>
    </row>
    <row r="77" spans="1:6" s="876" customFormat="1" ht="24">
      <c r="A77" s="880">
        <v>17</v>
      </c>
      <c r="B77" s="3346"/>
      <c r="C77" s="816" t="s">
        <v>648</v>
      </c>
      <c r="D77" s="816" t="s">
        <v>649</v>
      </c>
      <c r="E77" s="893">
        <v>0.5</v>
      </c>
      <c r="F77" s="880">
        <v>80</v>
      </c>
    </row>
    <row r="78" spans="1:6" s="876" customFormat="1" ht="24">
      <c r="A78" s="880">
        <v>18</v>
      </c>
      <c r="B78" s="3346"/>
      <c r="C78" s="816" t="s">
        <v>650</v>
      </c>
      <c r="D78" s="816" t="s">
        <v>651</v>
      </c>
      <c r="E78" s="893">
        <v>0.2</v>
      </c>
      <c r="F78" s="880">
        <v>30</v>
      </c>
    </row>
    <row r="79" spans="1:6" s="876" customFormat="1" ht="24">
      <c r="A79" s="880">
        <v>19</v>
      </c>
      <c r="B79" s="3346"/>
      <c r="C79" s="816" t="s">
        <v>652</v>
      </c>
      <c r="D79" s="816" t="s">
        <v>653</v>
      </c>
      <c r="E79" s="893">
        <v>0.5</v>
      </c>
      <c r="F79" s="880">
        <v>80</v>
      </c>
    </row>
    <row r="80" spans="1:6" s="876" customFormat="1" ht="36">
      <c r="A80" s="880">
        <v>20</v>
      </c>
      <c r="B80" s="3346"/>
      <c r="C80" s="816" t="s">
        <v>654</v>
      </c>
      <c r="D80" s="816" t="s">
        <v>655</v>
      </c>
      <c r="E80" s="893">
        <v>0.2</v>
      </c>
      <c r="F80" s="880">
        <v>30</v>
      </c>
    </row>
    <row r="81" spans="1:6" s="876" customFormat="1" ht="36">
      <c r="A81" s="880">
        <v>21</v>
      </c>
      <c r="B81" s="3346"/>
      <c r="C81" s="816" t="s">
        <v>656</v>
      </c>
      <c r="D81" s="816" t="s">
        <v>657</v>
      </c>
      <c r="E81" s="893">
        <v>0.2</v>
      </c>
      <c r="F81" s="880">
        <v>30</v>
      </c>
    </row>
    <row r="82" spans="1:6" s="876" customFormat="1" ht="48">
      <c r="A82" s="880">
        <v>22</v>
      </c>
      <c r="B82" s="3346"/>
      <c r="C82" s="816" t="s">
        <v>658</v>
      </c>
      <c r="D82" s="816" t="s">
        <v>659</v>
      </c>
      <c r="E82" s="893">
        <v>0.2</v>
      </c>
      <c r="F82" s="880">
        <v>30</v>
      </c>
    </row>
    <row r="83" spans="1:6" s="876" customFormat="1" ht="48">
      <c r="A83" s="880">
        <v>23</v>
      </c>
      <c r="B83" s="3346"/>
      <c r="C83" s="816" t="s">
        <v>660</v>
      </c>
      <c r="D83" s="816" t="s">
        <v>661</v>
      </c>
      <c r="E83" s="893">
        <v>0.2</v>
      </c>
      <c r="F83" s="880">
        <v>30</v>
      </c>
    </row>
    <row r="84" spans="1:6" s="876" customFormat="1" ht="36">
      <c r="A84" s="880">
        <v>24</v>
      </c>
      <c r="B84" s="3346"/>
      <c r="C84" s="816" t="s">
        <v>662</v>
      </c>
      <c r="D84" s="816" t="s">
        <v>663</v>
      </c>
      <c r="E84" s="893">
        <v>0.2</v>
      </c>
      <c r="F84" s="880">
        <v>30</v>
      </c>
    </row>
    <row r="85" spans="1:6" s="876" customFormat="1" ht="36">
      <c r="A85" s="880">
        <v>25</v>
      </c>
      <c r="B85" s="3346"/>
      <c r="C85" s="816" t="s">
        <v>664</v>
      </c>
      <c r="D85" s="816" t="s">
        <v>665</v>
      </c>
      <c r="E85" s="893">
        <v>0.5</v>
      </c>
      <c r="F85" s="880">
        <v>80</v>
      </c>
    </row>
    <row r="86" spans="1:6" s="876" customFormat="1" ht="36">
      <c r="A86" s="880">
        <v>26</v>
      </c>
      <c r="B86" s="3346"/>
      <c r="C86" s="816" t="s">
        <v>666</v>
      </c>
      <c r="D86" s="816" t="s">
        <v>667</v>
      </c>
      <c r="E86" s="893">
        <v>0.2</v>
      </c>
      <c r="F86" s="880">
        <v>30</v>
      </c>
    </row>
    <row r="87" spans="1:6" s="876" customFormat="1" ht="36">
      <c r="A87" s="880">
        <v>27</v>
      </c>
      <c r="B87" s="3346"/>
      <c r="C87" s="816" t="s">
        <v>668</v>
      </c>
      <c r="D87" s="816" t="s">
        <v>669</v>
      </c>
      <c r="E87" s="893">
        <v>0.2</v>
      </c>
      <c r="F87" s="880">
        <v>30</v>
      </c>
    </row>
    <row r="88" spans="1:6" s="876" customFormat="1" ht="36">
      <c r="A88" s="880">
        <v>28</v>
      </c>
      <c r="B88" s="3346"/>
      <c r="C88" s="816" t="s">
        <v>670</v>
      </c>
      <c r="D88" s="816" t="s">
        <v>671</v>
      </c>
      <c r="E88" s="893">
        <v>0.2</v>
      </c>
      <c r="F88" s="880">
        <v>30</v>
      </c>
    </row>
    <row r="89" spans="1:6" s="876" customFormat="1" ht="24">
      <c r="A89" s="880">
        <v>29</v>
      </c>
      <c r="B89" s="3346"/>
      <c r="C89" s="816" t="s">
        <v>672</v>
      </c>
      <c r="D89" s="816" t="s">
        <v>673</v>
      </c>
      <c r="E89" s="893">
        <v>0.2</v>
      </c>
      <c r="F89" s="880">
        <v>30</v>
      </c>
    </row>
    <row r="90" spans="1:6" s="876" customFormat="1" ht="24">
      <c r="A90" s="880">
        <v>30</v>
      </c>
      <c r="B90" s="3346"/>
      <c r="C90" s="816" t="s">
        <v>674</v>
      </c>
      <c r="D90" s="816" t="s">
        <v>675</v>
      </c>
      <c r="E90" s="893">
        <v>0.2</v>
      </c>
      <c r="F90" s="880">
        <v>30</v>
      </c>
    </row>
    <row r="91" spans="1:6" s="876" customFormat="1" ht="36">
      <c r="A91" s="880">
        <v>31</v>
      </c>
      <c r="B91" s="3346"/>
      <c r="C91" s="816" t="s">
        <v>676</v>
      </c>
      <c r="D91" s="816" t="s">
        <v>677</v>
      </c>
      <c r="E91" s="893">
        <v>0.2</v>
      </c>
      <c r="F91" s="880">
        <v>30</v>
      </c>
    </row>
    <row r="92" spans="1:6" s="876" customFormat="1" ht="24">
      <c r="A92" s="880">
        <v>32</v>
      </c>
      <c r="B92" s="3346" t="s">
        <v>678</v>
      </c>
      <c r="C92" s="880" t="s">
        <v>679</v>
      </c>
      <c r="D92" s="816" t="s">
        <v>680</v>
      </c>
      <c r="E92" s="893">
        <v>0.2</v>
      </c>
      <c r="F92" s="880">
        <v>30</v>
      </c>
    </row>
    <row r="93" spans="1:6" s="876" customFormat="1" ht="36">
      <c r="A93" s="880">
        <v>33</v>
      </c>
      <c r="B93" s="3346"/>
      <c r="C93" s="880" t="s">
        <v>681</v>
      </c>
      <c r="D93" s="816" t="s">
        <v>682</v>
      </c>
      <c r="E93" s="893">
        <v>0.2</v>
      </c>
      <c r="F93" s="880">
        <v>30</v>
      </c>
    </row>
    <row r="94" spans="1:6" s="876" customFormat="1" ht="48">
      <c r="A94" s="880">
        <v>34</v>
      </c>
      <c r="B94" s="3346"/>
      <c r="C94" s="880" t="s">
        <v>683</v>
      </c>
      <c r="D94" s="816" t="s">
        <v>684</v>
      </c>
      <c r="E94" s="893">
        <v>0.2</v>
      </c>
      <c r="F94" s="880">
        <v>30</v>
      </c>
    </row>
    <row r="95" spans="1:6" s="876" customFormat="1" ht="36">
      <c r="A95" s="880">
        <v>35</v>
      </c>
      <c r="B95" s="3346"/>
      <c r="C95" s="880" t="s">
        <v>685</v>
      </c>
      <c r="D95" s="816" t="s">
        <v>686</v>
      </c>
      <c r="E95" s="893">
        <v>0.2</v>
      </c>
      <c r="F95" s="880">
        <v>30</v>
      </c>
    </row>
    <row r="96" spans="1:6" s="876" customFormat="1" ht="48">
      <c r="A96" s="880">
        <v>36</v>
      </c>
      <c r="B96" s="3346"/>
      <c r="C96" s="816" t="s">
        <v>687</v>
      </c>
      <c r="D96" s="816" t="s">
        <v>688</v>
      </c>
      <c r="E96" s="893">
        <v>0.2</v>
      </c>
      <c r="F96" s="880">
        <v>30</v>
      </c>
    </row>
    <row r="97" spans="1:6" s="876" customFormat="1" ht="36">
      <c r="A97" s="880">
        <v>37</v>
      </c>
      <c r="B97" s="3346"/>
      <c r="C97" s="880" t="s">
        <v>689</v>
      </c>
      <c r="D97" s="816" t="s">
        <v>690</v>
      </c>
      <c r="E97" s="893">
        <v>0.2</v>
      </c>
      <c r="F97" s="880">
        <v>30</v>
      </c>
    </row>
    <row r="98" spans="1:6" s="876" customFormat="1" ht="36">
      <c r="A98" s="880">
        <v>38</v>
      </c>
      <c r="B98" s="3346"/>
      <c r="C98" s="880" t="s">
        <v>691</v>
      </c>
      <c r="D98" s="816" t="s">
        <v>692</v>
      </c>
      <c r="E98" s="893">
        <v>0.2</v>
      </c>
      <c r="F98" s="880">
        <v>30</v>
      </c>
    </row>
    <row r="99" spans="1:6" s="876" customFormat="1" ht="36">
      <c r="A99" s="880">
        <v>39</v>
      </c>
      <c r="B99" s="3346" t="s">
        <v>693</v>
      </c>
      <c r="C99" s="880" t="s">
        <v>694</v>
      </c>
      <c r="D99" s="816" t="s">
        <v>695</v>
      </c>
      <c r="E99" s="893">
        <v>0.3</v>
      </c>
      <c r="F99" s="880">
        <v>50</v>
      </c>
    </row>
    <row r="100" spans="1:6" s="876" customFormat="1" ht="24">
      <c r="A100" s="880">
        <v>40</v>
      </c>
      <c r="B100" s="3346"/>
      <c r="C100" s="880" t="s">
        <v>696</v>
      </c>
      <c r="D100" s="816" t="s">
        <v>697</v>
      </c>
      <c r="E100" s="893">
        <v>0.2</v>
      </c>
      <c r="F100" s="880">
        <v>30</v>
      </c>
    </row>
    <row r="101" spans="1:6" s="876" customFormat="1" ht="36">
      <c r="A101" s="880">
        <v>41</v>
      </c>
      <c r="B101" s="334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6" t="s">
        <v>708</v>
      </c>
      <c r="C105" s="880" t="s">
        <v>709</v>
      </c>
      <c r="D105" s="816" t="s">
        <v>710</v>
      </c>
      <c r="E105" s="893">
        <v>0.2</v>
      </c>
      <c r="F105" s="880">
        <v>30</v>
      </c>
    </row>
    <row r="106" spans="1:6" s="876" customFormat="1" ht="36">
      <c r="A106" s="880">
        <v>46</v>
      </c>
      <c r="B106" s="3346"/>
      <c r="C106" s="880" t="s">
        <v>711</v>
      </c>
      <c r="D106" s="816" t="s">
        <v>712</v>
      </c>
      <c r="E106" s="893">
        <v>0.2</v>
      </c>
      <c r="F106" s="880">
        <v>30</v>
      </c>
    </row>
    <row r="107" spans="1:6" s="876" customFormat="1" ht="36">
      <c r="A107" s="880">
        <v>47</v>
      </c>
      <c r="B107" s="3346" t="s">
        <v>713</v>
      </c>
      <c r="C107" s="880" t="s">
        <v>714</v>
      </c>
      <c r="D107" s="816" t="s">
        <v>715</v>
      </c>
      <c r="E107" s="893">
        <v>0.3</v>
      </c>
      <c r="F107" s="880">
        <v>50</v>
      </c>
    </row>
    <row r="108" spans="1:6" s="876" customFormat="1" ht="36">
      <c r="A108" s="880">
        <v>48</v>
      </c>
      <c r="B108" s="334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6" t="s">
        <v>724</v>
      </c>
      <c r="C111" s="880" t="s">
        <v>725</v>
      </c>
      <c r="D111" s="816" t="s">
        <v>726</v>
      </c>
      <c r="E111" s="893">
        <v>0.2</v>
      </c>
      <c r="F111" s="880">
        <v>30</v>
      </c>
    </row>
    <row r="112" spans="1:6" s="876" customFormat="1" ht="24">
      <c r="A112" s="880">
        <v>52</v>
      </c>
      <c r="B112" s="3346"/>
      <c r="C112" s="880" t="s">
        <v>727</v>
      </c>
      <c r="D112" s="816" t="s">
        <v>728</v>
      </c>
      <c r="E112" s="893">
        <v>0.2</v>
      </c>
      <c r="F112" s="880">
        <v>30</v>
      </c>
    </row>
    <row r="113" spans="1:6" s="876" customFormat="1" ht="24">
      <c r="A113" s="880">
        <v>53</v>
      </c>
      <c r="B113" s="334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6" t="s">
        <v>737</v>
      </c>
      <c r="C116" s="880" t="s">
        <v>738</v>
      </c>
      <c r="D116" s="816" t="s">
        <v>739</v>
      </c>
      <c r="E116" s="893">
        <v>0.2</v>
      </c>
      <c r="F116" s="880">
        <v>30</v>
      </c>
    </row>
    <row r="117" spans="1:6" ht="36">
      <c r="A117" s="880">
        <v>57</v>
      </c>
      <c r="B117" s="334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估价结果一览表（市场价值不需“结果表-1”）</v>
      </c>
      <c r="B3" s="3042"/>
      <c r="C3" s="3042"/>
      <c r="D3" s="3042"/>
      <c r="E3" s="3042"/>
    </row>
    <row r="4" spans="1:5" ht="19.5" thickBot="1">
      <c r="A4" s="1959"/>
      <c r="B4" s="3040" t="s">
        <v>1626</v>
      </c>
      <c r="C4" s="3040"/>
      <c r="D4" s="3040"/>
      <c r="E4" s="1959"/>
    </row>
    <row r="5" spans="1:5" ht="16.5" thickTop="1">
      <c r="A5" s="1957"/>
      <c r="B5" s="3038" t="s">
        <v>1618</v>
      </c>
      <c r="C5" s="1960" t="s">
        <v>1619</v>
      </c>
      <c r="D5" s="1041">
        <f ca="1">结果表!H101</f>
        <v>74484</v>
      </c>
      <c r="E5" s="1957"/>
    </row>
    <row r="6" spans="1:5" ht="15.75">
      <c r="A6" s="1957"/>
      <c r="B6" s="3038"/>
      <c r="C6" s="1960" t="s">
        <v>1620</v>
      </c>
      <c r="D6" s="1041" t="str">
        <f ca="1">NUMBERSTRING(INT(D5*10000),2)&amp;"元整"</f>
        <v>柒亿肆仟肆佰捌拾肆万元整</v>
      </c>
      <c r="E6" s="1957"/>
    </row>
    <row r="7" spans="1:5" ht="15.75">
      <c r="A7" s="1957"/>
      <c r="B7" s="3043"/>
      <c r="C7" s="1961" t="s">
        <v>1621</v>
      </c>
      <c r="D7" s="1042">
        <f ca="1">结果表!H102</f>
        <v>23417</v>
      </c>
      <c r="E7" s="1957"/>
    </row>
    <row r="8" spans="1:5" ht="15.75">
      <c r="A8" s="1957"/>
      <c r="B8" s="3044" t="str">
        <f>结果表!E103</f>
        <v>2.估价师知悉的法定优先受偿款</v>
      </c>
      <c r="C8" s="1962" t="s">
        <v>1622</v>
      </c>
      <c r="D8" s="1042">
        <f>结果表!H103</f>
        <v>0</v>
      </c>
      <c r="E8" s="1957"/>
    </row>
    <row r="9" spans="1:5" ht="15.75">
      <c r="A9" s="1957"/>
      <c r="B9" s="3046"/>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7" t="str">
        <f>结果表!E107</f>
        <v>3.房地产抵押价值</v>
      </c>
      <c r="C13" s="1965" t="s">
        <v>1619</v>
      </c>
      <c r="D13" s="1044">
        <f ca="1">结果表!H107</f>
        <v>74484</v>
      </c>
      <c r="E13" s="1957"/>
    </row>
    <row r="14" spans="1:5" ht="15.75">
      <c r="A14" s="1957"/>
      <c r="B14" s="3038"/>
      <c r="C14" s="1960" t="s">
        <v>1620</v>
      </c>
      <c r="D14" s="1041" t="str">
        <f ca="1">NUMBERSTRING(INT(D13*10000),2)&amp;"元整"</f>
        <v>柒亿肆仟肆佰捌拾肆万元整</v>
      </c>
      <c r="E14" s="1957"/>
    </row>
    <row r="15" spans="1:5" ht="15">
      <c r="A15" s="1957"/>
      <c r="B15" s="3043"/>
      <c r="C15" s="1961" t="s">
        <v>1630</v>
      </c>
      <c r="D15" s="1053">
        <f ca="1">结果表!H108</f>
        <v>11174</v>
      </c>
      <c r="E15" s="1957"/>
    </row>
    <row r="16" spans="1:5" ht="15">
      <c r="A16" s="1957"/>
      <c r="B16" s="3044" t="str">
        <f>结果表!E109</f>
        <v>——</v>
      </c>
      <c r="C16" s="1965" t="s">
        <v>1631</v>
      </c>
      <c r="D16" s="1966" t="str">
        <f>结果表!H109</f>
        <v>——</v>
      </c>
      <c r="E16" s="1957"/>
    </row>
    <row r="17" spans="1:5" ht="15.75">
      <c r="A17" s="1957"/>
      <c r="B17" s="3045"/>
      <c r="C17" s="1960" t="s">
        <v>1632</v>
      </c>
      <c r="D17" s="1041" t="e">
        <f>NUMBERSTRING(INT(D16*10000),2)&amp;"元整"</f>
        <v>#VALUE!</v>
      </c>
      <c r="E17" s="1957"/>
    </row>
    <row r="18" spans="1:5" ht="15">
      <c r="A18" s="1957"/>
      <c r="B18" s="3046"/>
      <c r="C18" s="1961" t="s">
        <v>1621</v>
      </c>
      <c r="D18" s="1053" t="str">
        <f>结果表!H110</f>
        <v>——</v>
      </c>
      <c r="E18" s="1957"/>
    </row>
    <row r="19" spans="1:5" ht="15.75">
      <c r="A19" s="1957"/>
      <c r="B19" s="3037" t="str">
        <f>结果表!E111</f>
        <v>——</v>
      </c>
      <c r="C19" s="1965" t="s">
        <v>1619</v>
      </c>
      <c r="D19" s="1042" t="str">
        <f>结果表!H111</f>
        <v>——</v>
      </c>
      <c r="E19" s="1957"/>
    </row>
    <row r="20" spans="1:5" ht="15.75">
      <c r="A20" s="1957"/>
      <c r="B20" s="3038"/>
      <c r="C20" s="1960" t="s">
        <v>1632</v>
      </c>
      <c r="D20" s="1041" t="e">
        <f>NUMBERSTRING(INT(D19*10000),2)&amp;"元整"</f>
        <v>#VALUE!</v>
      </c>
      <c r="E20" s="1957"/>
    </row>
    <row r="21" spans="1:5" ht="15.75" thickBot="1">
      <c r="A21" s="1957"/>
      <c r="B21" s="3039"/>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31807.97</v>
      </c>
    </row>
    <row r="3" spans="1:5" ht="15.75">
      <c r="A3" s="2910" t="s">
        <v>2998</v>
      </c>
      <c r="B3" s="2911">
        <f ca="1">ROUND(B2*10000/E2,0)</f>
        <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2" t="s">
        <v>1146</v>
      </c>
      <c r="C1" s="3352"/>
      <c r="D1" s="3352"/>
      <c r="E1" s="3352"/>
      <c r="F1" s="3352"/>
      <c r="G1" s="3351" t="s">
        <v>1147</v>
      </c>
      <c r="H1" s="3351"/>
      <c r="I1" s="3351"/>
      <c r="J1" s="3351"/>
      <c r="K1" s="3351"/>
      <c r="L1" s="3351"/>
      <c r="N1" s="3351" t="s">
        <v>1148</v>
      </c>
      <c r="O1" s="3351"/>
      <c r="P1" s="3351"/>
      <c r="Q1" s="3351"/>
      <c r="R1" s="1447"/>
      <c r="S1" s="3351" t="s">
        <v>1149</v>
      </c>
      <c r="T1" s="3351"/>
      <c r="U1" s="3351"/>
      <c r="V1" s="3351"/>
      <c r="X1" s="3350" t="s">
        <v>1150</v>
      </c>
      <c r="Y1" s="3351"/>
      <c r="Z1" s="3351"/>
      <c r="AA1" s="3351"/>
      <c r="AB1" s="3351"/>
      <c r="AD1" s="3350" t="s">
        <v>1151</v>
      </c>
      <c r="AE1" s="3351"/>
      <c r="AF1" s="3351"/>
      <c r="AG1" s="3351"/>
      <c r="AH1" s="3351"/>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3">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48"/>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48"/>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49"/>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7">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48"/>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48"/>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49"/>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7">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48"/>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48"/>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49"/>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4">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5"/>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5"/>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6"/>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7">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48"/>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48"/>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49"/>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7">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48">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48">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49">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7">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48">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48">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49">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7">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48">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48">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49">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7">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48">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48">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49">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7">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48">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48">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49">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7">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48">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48">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49">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7">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48">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48">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49">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7">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48">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48">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49">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7">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48">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48">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49">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7">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48">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48">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49">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K49" sqref="K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44.68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66616</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20943</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3135</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31807.97</v>
      </c>
      <c r="G7" s="1849"/>
      <c r="H7" s="349"/>
      <c r="I7" s="3276"/>
      <c r="J7" s="351"/>
      <c r="K7" s="352"/>
      <c r="L7" s="347" t="s">
        <v>1402</v>
      </c>
      <c r="M7" s="348">
        <f ca="1">F7</f>
        <v>31807.97</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66473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20898</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-90971</v>
      </c>
      <c r="D46" s="1870" t="str">
        <f>C2</f>
        <v>万元</v>
      </c>
      <c r="E46" s="1864"/>
      <c r="F46" s="1864"/>
      <c r="I46" s="1871" t="s">
        <v>1517</v>
      </c>
      <c r="J46" s="1872"/>
      <c r="K46" s="1873"/>
      <c r="L46" s="1874">
        <f ca="1">IF(M47="住宅",0,IF(L48&gt;J51,L60,J60))</f>
        <v>143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66473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143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2019</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23108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66616</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0.255</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66473</v>
      </c>
      <c r="R56" s="1884" t="s">
        <v>1525</v>
      </c>
    </row>
    <row r="57" spans="1:18" s="1840" customFormat="1" ht="24.75" thickBot="1">
      <c r="A57" s="1916"/>
      <c r="B57" s="1170" t="s">
        <v>1474</v>
      </c>
      <c r="C57" s="282">
        <f ca="1">C29</f>
        <v>13712</v>
      </c>
      <c r="D57" s="1917"/>
      <c r="E57" s="1918"/>
      <c r="F57" s="1919"/>
      <c r="I57" s="1920" t="s">
        <v>1552</v>
      </c>
      <c r="J57" s="1921">
        <f ca="1">IF(OR(M47="住宅",J51&lt;L48,J56="是"),"——",J51-L48)</f>
        <v>15.32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66473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66473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23108</v>
      </c>
      <c r="R67" s="1884" t="s">
        <v>1578</v>
      </c>
    </row>
    <row r="68" spans="1:18" s="1840" customFormat="1" ht="16.5" thickBot="1">
      <c r="A68" s="1167" t="s">
        <v>1029</v>
      </c>
      <c r="B68" s="1168" t="s">
        <v>1481</v>
      </c>
      <c r="C68" s="346">
        <f ca="1">ROUND(C67*(1-((1+F70)/(1+F68))^F69)/(F68-F70),0)</f>
        <v>-24498</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44.68</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-7702</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66473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2" t="s">
        <v>121</v>
      </c>
    </row>
    <row r="43" spans="1:7" ht="13.5" customHeight="1">
      <c r="A43" s="952" t="s">
        <v>792</v>
      </c>
      <c r="B43" s="259" t="s">
        <v>1061</v>
      </c>
      <c r="C43" s="282">
        <f ca="1">ROUND(IF('数据-取费表'!B22&lt;=1,C39*F22*'数据-取费表'!B21/2,C39*(POWER((1+F22),'数据-取费表'!B21/2)-1)),0)</f>
        <v>20</v>
      </c>
      <c r="D43" s="282"/>
      <c r="E43" s="282"/>
      <c r="F43" s="283"/>
      <c r="G43" s="3223"/>
    </row>
    <row r="44" spans="1:7" ht="13.5" customHeight="1">
      <c r="A44" s="952" t="s">
        <v>793</v>
      </c>
      <c r="B44" s="259" t="s">
        <v>1063</v>
      </c>
      <c r="C44" s="282">
        <f ca="1">ROUND(IF('数据-取费表'!B22&lt;=1,C40*F22*'数据-取费表'!B21/2,C40*(POWER((1+F22),'数据-取费表'!B21/2)-1)),4)</f>
        <v>1E-3</v>
      </c>
      <c r="D44" s="282"/>
      <c r="E44" s="282"/>
      <c r="F44" s="283"/>
      <c r="G44" s="3224"/>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7" t="s">
        <v>156</v>
      </c>
      <c r="B1" s="3357"/>
      <c r="C1" s="3357"/>
      <c r="D1" s="3357"/>
      <c r="E1" s="3357"/>
      <c r="F1" s="335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8" t="s">
        <v>169</v>
      </c>
      <c r="B2" s="3358"/>
      <c r="C2" s="3358"/>
      <c r="D2" s="3358"/>
      <c r="E2" s="3358"/>
      <c r="F2" s="335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7" t="s">
        <v>868</v>
      </c>
      <c r="B1" s="3357"/>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4" t="s">
        <v>2537</v>
      </c>
      <c r="D4" s="3245"/>
      <c r="E4" s="3246" t="s">
        <v>2538</v>
      </c>
      <c r="F4" s="3247"/>
      <c r="G4" s="3244" t="s">
        <v>2539</v>
      </c>
      <c r="H4" s="3245"/>
      <c r="I4" s="3244" t="s">
        <v>2540</v>
      </c>
      <c r="J4" s="3245"/>
      <c r="K4" s="610" t="s">
        <v>2541</v>
      </c>
      <c r="L4" s="1131"/>
      <c r="M4" s="1132"/>
      <c r="N4" s="1132"/>
      <c r="O4" s="1132"/>
      <c r="P4" s="3308" t="s">
        <v>2542</v>
      </c>
      <c r="Q4" s="3309"/>
      <c r="R4" s="3312" t="s">
        <v>2538</v>
      </c>
      <c r="S4" s="3313"/>
      <c r="T4" s="3312" t="s">
        <v>2539</v>
      </c>
      <c r="U4" s="3313"/>
      <c r="V4" s="3314" t="s">
        <v>2540</v>
      </c>
      <c r="W4" s="3314"/>
      <c r="X4" s="3031"/>
      <c r="Y4" s="3312" t="s">
        <v>2542</v>
      </c>
      <c r="Z4" s="3313"/>
      <c r="AA4" s="3316" t="s">
        <v>2538</v>
      </c>
      <c r="AB4" s="3316" t="s">
        <v>2539</v>
      </c>
      <c r="AC4" s="3305" t="s">
        <v>2540</v>
      </c>
    </row>
    <row r="5" spans="1:29" ht="15">
      <c r="A5" s="404"/>
      <c r="B5" s="405"/>
      <c r="C5" s="3262" t="s">
        <v>2543</v>
      </c>
      <c r="D5" s="3263"/>
      <c r="E5" s="3269" t="str">
        <f>Sheet3!A26</f>
        <v>高教综合大楼</v>
      </c>
      <c r="F5" s="3270"/>
      <c r="G5" s="3262" t="str">
        <f>Sheet3!A27</f>
        <v>青年创业大厦</v>
      </c>
      <c r="H5" s="3263"/>
      <c r="I5" s="3262" t="str">
        <f>Sheet3!A28</f>
        <v>珠江摩派</v>
      </c>
      <c r="J5" s="3263"/>
      <c r="K5" s="610"/>
      <c r="L5" s="1131"/>
      <c r="M5" s="1132"/>
      <c r="N5" s="1132"/>
      <c r="O5" s="1132"/>
      <c r="P5" s="3310"/>
      <c r="Q5" s="3251"/>
      <c r="R5" s="3256"/>
      <c r="S5" s="3257"/>
      <c r="T5" s="3256"/>
      <c r="U5" s="3257"/>
      <c r="V5" s="3239"/>
      <c r="W5" s="3239"/>
      <c r="X5" s="3026"/>
      <c r="Y5" s="3256"/>
      <c r="Z5" s="3257"/>
      <c r="AA5" s="3242"/>
      <c r="AB5" s="3242"/>
      <c r="AC5" s="3306"/>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311"/>
      <c r="Q6" s="3253"/>
      <c r="R6" s="3256"/>
      <c r="S6" s="3257"/>
      <c r="T6" s="3258"/>
      <c r="U6" s="3259"/>
      <c r="V6" s="3239"/>
      <c r="W6" s="3239"/>
      <c r="X6" s="3026"/>
      <c r="Y6" s="3258"/>
      <c r="Z6" s="3259"/>
      <c r="AA6" s="3243"/>
      <c r="AB6" s="3243"/>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5"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5" t="s">
        <v>2553</v>
      </c>
      <c r="Q8" s="3265"/>
      <c r="R8" s="768" t="s">
        <v>17</v>
      </c>
      <c r="S8" s="769">
        <f t="shared" si="0"/>
        <v>100</v>
      </c>
      <c r="T8" s="768" t="s">
        <v>17</v>
      </c>
      <c r="U8" s="769">
        <f t="shared" si="1"/>
        <v>100</v>
      </c>
      <c r="V8" s="768" t="s">
        <v>17</v>
      </c>
      <c r="W8" s="769">
        <f t="shared" si="2"/>
        <v>100</v>
      </c>
      <c r="X8" s="770"/>
      <c r="Y8" s="3264" t="s">
        <v>2553</v>
      </c>
      <c r="Z8" s="3265"/>
      <c r="AA8" s="771">
        <f t="shared" ref="AA8:AA47" si="3">D8/F8</f>
        <v>1</v>
      </c>
      <c r="AB8" s="771">
        <f t="shared" ref="AB8:AB47" si="4">D8/H8</f>
        <v>1</v>
      </c>
      <c r="AC8" s="2672">
        <f t="shared" ref="AC8:AC47" si="5">D8/J8</f>
        <v>1</v>
      </c>
    </row>
    <row r="9" spans="1:29" s="117" customFormat="1">
      <c r="A9" s="415" t="s">
        <v>2554</v>
      </c>
      <c r="B9" s="71" t="s">
        <v>2555</v>
      </c>
      <c r="C9" s="2971" t="s">
        <v>3318</v>
      </c>
      <c r="D9" s="135">
        <v>100</v>
      </c>
      <c r="E9" s="2972" t="s">
        <v>3101</v>
      </c>
      <c r="F9" s="135">
        <f>SUMIF(64:64,E9,65:65)-SUMIF(64:64,C9,65:65)+100</f>
        <v>105</v>
      </c>
      <c r="G9" s="2973" t="s">
        <v>3101</v>
      </c>
      <c r="H9" s="135">
        <f>SUMIF(64:64,G9,65:65)-SUMIF(64:64,C9,65:65)+100</f>
        <v>105</v>
      </c>
      <c r="I9" s="2973" t="s">
        <v>3101</v>
      </c>
      <c r="J9" s="135">
        <f>SUMIF(64:64,I9,65:65)-SUMIF(64:64,C9,65:65)+100</f>
        <v>105</v>
      </c>
      <c r="K9" s="611"/>
      <c r="L9" s="1133"/>
      <c r="M9" s="1134"/>
      <c r="N9" s="1134"/>
      <c r="O9" s="1134"/>
      <c r="P9" s="3240" t="s">
        <v>2556</v>
      </c>
      <c r="Q9" s="3005" t="str">
        <f t="shared" ref="Q9:Q15" si="6">B9</f>
        <v>用途</v>
      </c>
      <c r="R9" s="768" t="s">
        <v>17</v>
      </c>
      <c r="S9" s="769">
        <f t="shared" si="0"/>
        <v>105</v>
      </c>
      <c r="T9" s="768" t="s">
        <v>17</v>
      </c>
      <c r="U9" s="769">
        <f t="shared" si="1"/>
        <v>105</v>
      </c>
      <c r="V9" s="768" t="s">
        <v>17</v>
      </c>
      <c r="W9" s="769">
        <f t="shared" si="2"/>
        <v>105</v>
      </c>
      <c r="X9" s="770"/>
      <c r="Y9" s="3080"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0"/>
      <c r="Q10" s="3005" t="str">
        <f t="shared" si="6"/>
        <v>土地使用年限（年）</v>
      </c>
      <c r="R10" s="768" t="s">
        <v>17</v>
      </c>
      <c r="S10" s="769">
        <f t="shared" si="0"/>
        <v>100</v>
      </c>
      <c r="T10" s="768" t="s">
        <v>17</v>
      </c>
      <c r="U10" s="769">
        <f t="shared" si="1"/>
        <v>100</v>
      </c>
      <c r="V10" s="768" t="s">
        <v>17</v>
      </c>
      <c r="W10" s="769">
        <f t="shared" si="2"/>
        <v>100</v>
      </c>
      <c r="X10" s="770"/>
      <c r="Y10" s="3080"/>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0"/>
      <c r="Q11" s="3005" t="str">
        <f t="shared" si="6"/>
        <v>容积率</v>
      </c>
      <c r="R11" s="768" t="s">
        <v>17</v>
      </c>
      <c r="S11" s="769">
        <f t="shared" si="0"/>
        <v>100</v>
      </c>
      <c r="T11" s="768" t="s">
        <v>17</v>
      </c>
      <c r="U11" s="769">
        <f t="shared" si="1"/>
        <v>100</v>
      </c>
      <c r="V11" s="768" t="s">
        <v>17</v>
      </c>
      <c r="W11" s="769">
        <f t="shared" si="2"/>
        <v>100</v>
      </c>
      <c r="X11" s="770"/>
      <c r="Y11" s="3080"/>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0"/>
      <c r="Q12" s="3005">
        <f t="shared" si="6"/>
        <v>111</v>
      </c>
      <c r="R12" s="768" t="s">
        <v>17</v>
      </c>
      <c r="S12" s="769">
        <f t="shared" si="0"/>
        <v>100</v>
      </c>
      <c r="T12" s="768" t="s">
        <v>17</v>
      </c>
      <c r="U12" s="769">
        <f t="shared" si="1"/>
        <v>100</v>
      </c>
      <c r="V12" s="768" t="s">
        <v>17</v>
      </c>
      <c r="W12" s="769">
        <f t="shared" si="2"/>
        <v>100</v>
      </c>
      <c r="X12" s="770"/>
      <c r="Y12" s="3080"/>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0"/>
      <c r="Q13" s="3005">
        <f t="shared" si="6"/>
        <v>111</v>
      </c>
      <c r="R13" s="768" t="s">
        <v>17</v>
      </c>
      <c r="S13" s="769">
        <f t="shared" si="0"/>
        <v>100</v>
      </c>
      <c r="T13" s="768" t="s">
        <v>17</v>
      </c>
      <c r="U13" s="769">
        <f t="shared" si="1"/>
        <v>100</v>
      </c>
      <c r="V13" s="768" t="s">
        <v>17</v>
      </c>
      <c r="W13" s="769">
        <f t="shared" si="2"/>
        <v>100</v>
      </c>
      <c r="X13" s="770"/>
      <c r="Y13" s="3080"/>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0"/>
      <c r="Q14" s="3005">
        <f t="shared" si="6"/>
        <v>111</v>
      </c>
      <c r="R14" s="768" t="s">
        <v>17</v>
      </c>
      <c r="S14" s="769">
        <f t="shared" si="0"/>
        <v>100</v>
      </c>
      <c r="T14" s="768" t="s">
        <v>17</v>
      </c>
      <c r="U14" s="769">
        <f t="shared" si="1"/>
        <v>100</v>
      </c>
      <c r="V14" s="768" t="s">
        <v>17</v>
      </c>
      <c r="W14" s="769">
        <f t="shared" si="2"/>
        <v>100</v>
      </c>
      <c r="X14" s="770"/>
      <c r="Y14" s="3080"/>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0" t="s">
        <v>2561</v>
      </c>
      <c r="Q15" s="3028" t="str">
        <f t="shared" si="6"/>
        <v>办公集聚程度</v>
      </c>
      <c r="R15" s="772" t="s">
        <v>17</v>
      </c>
      <c r="S15" s="773">
        <f t="shared" si="0"/>
        <v>100</v>
      </c>
      <c r="T15" s="772" t="s">
        <v>17</v>
      </c>
      <c r="U15" s="773">
        <f t="shared" si="1"/>
        <v>100</v>
      </c>
      <c r="V15" s="772" t="s">
        <v>17</v>
      </c>
      <c r="W15" s="773">
        <f t="shared" si="2"/>
        <v>102</v>
      </c>
      <c r="X15" s="3026"/>
      <c r="Y15" s="3232"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1"/>
      <c r="Q16" s="3028"/>
      <c r="R16" s="772"/>
      <c r="S16" s="773"/>
      <c r="T16" s="772"/>
      <c r="U16" s="773"/>
      <c r="V16" s="772"/>
      <c r="W16" s="773"/>
      <c r="X16" s="3026"/>
      <c r="Y16" s="3233"/>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1"/>
      <c r="Q17" s="3028" t="str">
        <f>B17</f>
        <v>交通便捷度</v>
      </c>
      <c r="R17" s="772" t="s">
        <v>17</v>
      </c>
      <c r="S17" s="773">
        <f>F17</f>
        <v>100</v>
      </c>
      <c r="T17" s="772" t="s">
        <v>17</v>
      </c>
      <c r="U17" s="773">
        <f>H17</f>
        <v>100</v>
      </c>
      <c r="V17" s="772" t="s">
        <v>17</v>
      </c>
      <c r="W17" s="773">
        <f>J17</f>
        <v>100</v>
      </c>
      <c r="X17" s="3026"/>
      <c r="Y17" s="3233"/>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1"/>
      <c r="Q18" s="3028"/>
      <c r="R18" s="772"/>
      <c r="S18" s="773"/>
      <c r="T18" s="772"/>
      <c r="U18" s="773"/>
      <c r="V18" s="772"/>
      <c r="W18" s="773"/>
      <c r="X18" s="3026"/>
      <c r="Y18" s="3233"/>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1"/>
      <c r="Q19" s="3028" t="str">
        <f>B19</f>
        <v>公共配套设施</v>
      </c>
      <c r="R19" s="772" t="s">
        <v>17</v>
      </c>
      <c r="S19" s="773">
        <f>F19</f>
        <v>100</v>
      </c>
      <c r="T19" s="772" t="s">
        <v>17</v>
      </c>
      <c r="U19" s="773">
        <f>H19</f>
        <v>100</v>
      </c>
      <c r="V19" s="772" t="s">
        <v>17</v>
      </c>
      <c r="W19" s="773">
        <f>J19</f>
        <v>100</v>
      </c>
      <c r="X19" s="3026"/>
      <c r="Y19" s="3233"/>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1"/>
      <c r="Q20" s="3028"/>
      <c r="R20" s="772"/>
      <c r="S20" s="773"/>
      <c r="T20" s="772"/>
      <c r="U20" s="773"/>
      <c r="V20" s="772"/>
      <c r="W20" s="773"/>
      <c r="X20" s="3026"/>
      <c r="Y20" s="3233"/>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1"/>
      <c r="Q21" s="3028" t="str">
        <f>B21</f>
        <v>基础设施水平</v>
      </c>
      <c r="R21" s="772" t="s">
        <v>17</v>
      </c>
      <c r="S21" s="773">
        <f>F21</f>
        <v>100</v>
      </c>
      <c r="T21" s="772" t="s">
        <v>17</v>
      </c>
      <c r="U21" s="773">
        <f>H21</f>
        <v>100</v>
      </c>
      <c r="V21" s="772" t="s">
        <v>17</v>
      </c>
      <c r="W21" s="773">
        <f>J21</f>
        <v>100</v>
      </c>
      <c r="X21" s="3026"/>
      <c r="Y21" s="3233"/>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1"/>
      <c r="Q22" s="3028"/>
      <c r="R22" s="772"/>
      <c r="S22" s="773"/>
      <c r="T22" s="772"/>
      <c r="U22" s="773"/>
      <c r="V22" s="772"/>
      <c r="W22" s="773"/>
      <c r="X22" s="3026"/>
      <c r="Y22" s="3233"/>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1"/>
      <c r="Q23" s="3028" t="str">
        <f>B23</f>
        <v>环境质量</v>
      </c>
      <c r="R23" s="772" t="s">
        <v>17</v>
      </c>
      <c r="S23" s="773">
        <f>F23</f>
        <v>100</v>
      </c>
      <c r="T23" s="772" t="s">
        <v>17</v>
      </c>
      <c r="U23" s="773">
        <f>H23</f>
        <v>100</v>
      </c>
      <c r="V23" s="772" t="s">
        <v>17</v>
      </c>
      <c r="W23" s="773">
        <f>J23</f>
        <v>100</v>
      </c>
      <c r="X23" s="3026"/>
      <c r="Y23" s="3233"/>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1"/>
      <c r="Q24" s="3028"/>
      <c r="R24" s="772"/>
      <c r="S24" s="773"/>
      <c r="T24" s="772"/>
      <c r="U24" s="773"/>
      <c r="V24" s="772"/>
      <c r="W24" s="773"/>
      <c r="X24" s="3026"/>
      <c r="Y24" s="3233"/>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1"/>
      <c r="Q25" s="3028" t="str">
        <f>B25</f>
        <v>毗邻道路的类型与等级</v>
      </c>
      <c r="R25" s="772" t="s">
        <v>17</v>
      </c>
      <c r="S25" s="773">
        <f>F25</f>
        <v>94</v>
      </c>
      <c r="T25" s="772" t="s">
        <v>17</v>
      </c>
      <c r="U25" s="773">
        <f>H25</f>
        <v>94</v>
      </c>
      <c r="V25" s="772" t="s">
        <v>17</v>
      </c>
      <c r="W25" s="773">
        <f>J25</f>
        <v>100</v>
      </c>
      <c r="X25" s="3026"/>
      <c r="Y25" s="3233"/>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1"/>
      <c r="Q26" s="3028"/>
      <c r="R26" s="772"/>
      <c r="S26" s="773"/>
      <c r="T26" s="772"/>
      <c r="U26" s="773"/>
      <c r="V26" s="772"/>
      <c r="W26" s="773"/>
      <c r="X26" s="3026"/>
      <c r="Y26" s="3233"/>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31"/>
      <c r="Q27" s="3028" t="str">
        <f t="shared" ref="Q27:Q47" si="11">B27</f>
        <v>楼层</v>
      </c>
      <c r="R27" s="772" t="s">
        <v>17</v>
      </c>
      <c r="S27" s="773">
        <f>F27</f>
        <v>105</v>
      </c>
      <c r="T27" s="772" t="s">
        <v>17</v>
      </c>
      <c r="U27" s="773">
        <f>H27</f>
        <v>100</v>
      </c>
      <c r="V27" s="772" t="s">
        <v>17</v>
      </c>
      <c r="W27" s="773">
        <f>J27</f>
        <v>105</v>
      </c>
      <c r="X27" s="3026"/>
      <c r="Y27" s="3233"/>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1"/>
      <c r="Q28" s="3005" t="str">
        <f t="shared" si="11"/>
        <v>朝向</v>
      </c>
      <c r="R28" s="768" t="s">
        <v>17</v>
      </c>
      <c r="S28" s="769">
        <f>F28</f>
        <v>100</v>
      </c>
      <c r="T28" s="768" t="s">
        <v>17</v>
      </c>
      <c r="U28" s="769">
        <f>H28</f>
        <v>100</v>
      </c>
      <c r="V28" s="768" t="s">
        <v>17</v>
      </c>
      <c r="W28" s="769">
        <f>J28</f>
        <v>100</v>
      </c>
      <c r="X28" s="770"/>
      <c r="Y28" s="3233"/>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1"/>
      <c r="Q29" s="3028">
        <f t="shared" si="11"/>
        <v>111</v>
      </c>
      <c r="R29" s="772" t="s">
        <v>17</v>
      </c>
      <c r="S29" s="773">
        <f t="shared" ref="S29:S47" si="12">F29</f>
        <v>100</v>
      </c>
      <c r="T29" s="772" t="s">
        <v>17</v>
      </c>
      <c r="U29" s="773">
        <f t="shared" ref="U29:U47" si="13">H29</f>
        <v>100</v>
      </c>
      <c r="V29" s="772" t="s">
        <v>17</v>
      </c>
      <c r="W29" s="773">
        <f t="shared" ref="W29:W47" si="14">J29</f>
        <v>100</v>
      </c>
      <c r="X29" s="3026"/>
      <c r="Y29" s="3233"/>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1"/>
      <c r="Q30" s="3028">
        <f t="shared" si="11"/>
        <v>111</v>
      </c>
      <c r="R30" s="772" t="s">
        <v>17</v>
      </c>
      <c r="S30" s="773">
        <f t="shared" si="12"/>
        <v>100</v>
      </c>
      <c r="T30" s="772" t="s">
        <v>17</v>
      </c>
      <c r="U30" s="773">
        <f t="shared" si="13"/>
        <v>100</v>
      </c>
      <c r="V30" s="772" t="s">
        <v>17</v>
      </c>
      <c r="W30" s="773">
        <f t="shared" si="14"/>
        <v>100</v>
      </c>
      <c r="X30" s="3026"/>
      <c r="Y30" s="3233"/>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1"/>
      <c r="Q31" s="3028">
        <f t="shared" si="11"/>
        <v>111</v>
      </c>
      <c r="R31" s="772" t="s">
        <v>17</v>
      </c>
      <c r="S31" s="773">
        <f t="shared" si="12"/>
        <v>100</v>
      </c>
      <c r="T31" s="772" t="s">
        <v>17</v>
      </c>
      <c r="U31" s="773">
        <f t="shared" si="13"/>
        <v>100</v>
      </c>
      <c r="V31" s="772" t="s">
        <v>17</v>
      </c>
      <c r="W31" s="773">
        <f t="shared" si="14"/>
        <v>100</v>
      </c>
      <c r="X31" s="3026"/>
      <c r="Y31" s="3233"/>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1"/>
      <c r="Q32" s="3028">
        <f t="shared" si="11"/>
        <v>111</v>
      </c>
      <c r="R32" s="772" t="s">
        <v>17</v>
      </c>
      <c r="S32" s="773">
        <f t="shared" si="12"/>
        <v>100</v>
      </c>
      <c r="T32" s="772" t="s">
        <v>17</v>
      </c>
      <c r="U32" s="773">
        <f t="shared" si="13"/>
        <v>100</v>
      </c>
      <c r="V32" s="772" t="s">
        <v>17</v>
      </c>
      <c r="W32" s="773">
        <f t="shared" si="14"/>
        <v>100</v>
      </c>
      <c r="X32" s="3026"/>
      <c r="Y32" s="3233"/>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4" t="s">
        <v>2566</v>
      </c>
      <c r="Q33" s="3028" t="str">
        <f t="shared" si="11"/>
        <v>建筑类型</v>
      </c>
      <c r="R33" s="772" t="s">
        <v>17</v>
      </c>
      <c r="S33" s="773">
        <f t="shared" si="12"/>
        <v>100</v>
      </c>
      <c r="T33" s="772" t="s">
        <v>17</v>
      </c>
      <c r="U33" s="773">
        <f t="shared" si="13"/>
        <v>100</v>
      </c>
      <c r="V33" s="772" t="s">
        <v>17</v>
      </c>
      <c r="W33" s="773">
        <f t="shared" si="14"/>
        <v>100</v>
      </c>
      <c r="X33" s="3026"/>
      <c r="Y33" s="3237"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5"/>
      <c r="Q34" s="774" t="str">
        <f t="shared" si="11"/>
        <v>项目建筑规模</v>
      </c>
      <c r="R34" s="775" t="s">
        <v>17</v>
      </c>
      <c r="S34" s="776">
        <f t="shared" si="12"/>
        <v>102</v>
      </c>
      <c r="T34" s="775" t="s">
        <v>17</v>
      </c>
      <c r="U34" s="776">
        <f t="shared" si="13"/>
        <v>98</v>
      </c>
      <c r="V34" s="775" t="s">
        <v>17</v>
      </c>
      <c r="W34" s="776">
        <f t="shared" si="14"/>
        <v>98</v>
      </c>
      <c r="X34" s="777"/>
      <c r="Y34" s="3237"/>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5"/>
      <c r="Q35" s="3028" t="str">
        <f t="shared" si="11"/>
        <v>建筑结构</v>
      </c>
      <c r="R35" s="772" t="s">
        <v>17</v>
      </c>
      <c r="S35" s="773">
        <f t="shared" si="12"/>
        <v>100</v>
      </c>
      <c r="T35" s="772" t="s">
        <v>17</v>
      </c>
      <c r="U35" s="773">
        <f t="shared" si="13"/>
        <v>100</v>
      </c>
      <c r="V35" s="772" t="s">
        <v>17</v>
      </c>
      <c r="W35" s="773">
        <f t="shared" si="14"/>
        <v>100</v>
      </c>
      <c r="X35" s="3026"/>
      <c r="Y35" s="3237"/>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5"/>
      <c r="Q36" s="3028" t="str">
        <f t="shared" si="11"/>
        <v>公共部分装修</v>
      </c>
      <c r="R36" s="772" t="s">
        <v>17</v>
      </c>
      <c r="S36" s="773">
        <f t="shared" si="12"/>
        <v>100</v>
      </c>
      <c r="T36" s="772" t="s">
        <v>17</v>
      </c>
      <c r="U36" s="773">
        <f t="shared" si="13"/>
        <v>100</v>
      </c>
      <c r="V36" s="772" t="s">
        <v>17</v>
      </c>
      <c r="W36" s="773">
        <f t="shared" si="14"/>
        <v>100</v>
      </c>
      <c r="X36" s="3026"/>
      <c r="Y36" s="3237"/>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5"/>
      <c r="Q37" s="3028" t="str">
        <f t="shared" si="11"/>
        <v>成新度</v>
      </c>
      <c r="R37" s="772" t="s">
        <v>17</v>
      </c>
      <c r="S37" s="773">
        <f t="shared" si="12"/>
        <v>100</v>
      </c>
      <c r="T37" s="772" t="s">
        <v>17</v>
      </c>
      <c r="U37" s="773">
        <f t="shared" si="13"/>
        <v>100</v>
      </c>
      <c r="V37" s="772" t="s">
        <v>17</v>
      </c>
      <c r="W37" s="773">
        <f t="shared" si="14"/>
        <v>100</v>
      </c>
      <c r="X37" s="3026"/>
      <c r="Y37" s="3237"/>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5"/>
      <c r="Q38" s="3005" t="str">
        <f t="shared" si="11"/>
        <v>写字楼等级</v>
      </c>
      <c r="R38" s="768" t="s">
        <v>17</v>
      </c>
      <c r="S38" s="769">
        <f t="shared" si="12"/>
        <v>100</v>
      </c>
      <c r="T38" s="768" t="s">
        <v>17</v>
      </c>
      <c r="U38" s="769">
        <f t="shared" si="13"/>
        <v>100</v>
      </c>
      <c r="V38" s="768" t="s">
        <v>17</v>
      </c>
      <c r="W38" s="769">
        <f t="shared" si="14"/>
        <v>100</v>
      </c>
      <c r="X38" s="770"/>
      <c r="Y38" s="3237"/>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5" t="s">
        <v>2566</v>
      </c>
      <c r="Q39" s="3028" t="str">
        <f t="shared" si="11"/>
        <v>物业管理</v>
      </c>
      <c r="R39" s="772" t="s">
        <v>17</v>
      </c>
      <c r="S39" s="773">
        <f t="shared" si="12"/>
        <v>100</v>
      </c>
      <c r="T39" s="772" t="s">
        <v>17</v>
      </c>
      <c r="U39" s="773">
        <f t="shared" si="13"/>
        <v>100</v>
      </c>
      <c r="V39" s="772" t="s">
        <v>17</v>
      </c>
      <c r="W39" s="773">
        <f t="shared" si="14"/>
        <v>100</v>
      </c>
      <c r="X39" s="3026"/>
      <c r="Y39" s="3237"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5"/>
      <c r="Q40" s="3028" t="str">
        <f t="shared" si="11"/>
        <v>市政基础设施</v>
      </c>
      <c r="R40" s="772" t="s">
        <v>17</v>
      </c>
      <c r="S40" s="773">
        <f t="shared" si="12"/>
        <v>96</v>
      </c>
      <c r="T40" s="772" t="s">
        <v>17</v>
      </c>
      <c r="U40" s="773">
        <f t="shared" si="13"/>
        <v>96</v>
      </c>
      <c r="V40" s="772" t="s">
        <v>17</v>
      </c>
      <c r="W40" s="773">
        <f t="shared" si="14"/>
        <v>96</v>
      </c>
      <c r="X40" s="3026"/>
      <c r="Y40" s="3237"/>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5"/>
      <c r="Q41" s="3028" t="str">
        <f t="shared" si="11"/>
        <v>层高</v>
      </c>
      <c r="R41" s="772" t="s">
        <v>17</v>
      </c>
      <c r="S41" s="773">
        <f t="shared" si="12"/>
        <v>100</v>
      </c>
      <c r="T41" s="772" t="s">
        <v>17</v>
      </c>
      <c r="U41" s="773">
        <f t="shared" si="13"/>
        <v>100</v>
      </c>
      <c r="V41" s="772" t="s">
        <v>17</v>
      </c>
      <c r="W41" s="773">
        <f t="shared" si="14"/>
        <v>100</v>
      </c>
      <c r="X41" s="3026"/>
      <c r="Y41" s="3237"/>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3029">
        <f t="shared" si="3"/>
        <v>1</v>
      </c>
      <c r="AB42" s="3029">
        <f t="shared" si="4"/>
        <v>1</v>
      </c>
      <c r="AC42" s="2675">
        <f t="shared" si="5"/>
        <v>1</v>
      </c>
    </row>
    <row r="43" spans="1:29" ht="15">
      <c r="A43" s="472"/>
      <c r="B43" s="3023" t="s">
        <v>2669</v>
      </c>
      <c r="C43" s="2985" t="s">
        <v>3320</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35"/>
      <c r="Q43" s="3028" t="str">
        <f t="shared" si="11"/>
        <v>内部装修</v>
      </c>
      <c r="R43" s="772" t="s">
        <v>17</v>
      </c>
      <c r="S43" s="773">
        <f t="shared" si="12"/>
        <v>104</v>
      </c>
      <c r="T43" s="772" t="s">
        <v>17</v>
      </c>
      <c r="U43" s="773">
        <f t="shared" si="13"/>
        <v>104</v>
      </c>
      <c r="V43" s="772" t="s">
        <v>17</v>
      </c>
      <c r="W43" s="773">
        <f t="shared" si="14"/>
        <v>104</v>
      </c>
      <c r="X43" s="3026"/>
      <c r="Y43" s="3237"/>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5"/>
      <c r="Q44" s="3028" t="str">
        <f t="shared" si="11"/>
        <v>内部装修维护情况</v>
      </c>
      <c r="R44" s="772" t="s">
        <v>17</v>
      </c>
      <c r="S44" s="773">
        <f t="shared" si="12"/>
        <v>100</v>
      </c>
      <c r="T44" s="772" t="s">
        <v>17</v>
      </c>
      <c r="U44" s="773">
        <f t="shared" si="13"/>
        <v>100</v>
      </c>
      <c r="V44" s="772" t="s">
        <v>17</v>
      </c>
      <c r="W44" s="773">
        <f t="shared" si="14"/>
        <v>100</v>
      </c>
      <c r="X44" s="3026"/>
      <c r="Y44" s="3237"/>
      <c r="Z44" s="3027" t="str">
        <f t="shared" si="15"/>
        <v>内部装修维护情况</v>
      </c>
      <c r="AA44" s="3029">
        <f t="shared" si="3"/>
        <v>1</v>
      </c>
      <c r="AB44" s="3029">
        <f t="shared" si="4"/>
        <v>1</v>
      </c>
      <c r="AC44" s="2675">
        <f t="shared" si="5"/>
        <v>1</v>
      </c>
    </row>
    <row r="45" spans="1:29" s="117" customFormat="1" ht="15">
      <c r="A45" s="473"/>
      <c r="B45" s="3032" t="s">
        <v>3313</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35"/>
      <c r="Q45" s="3005" t="str">
        <f t="shared" si="11"/>
        <v>现状用途</v>
      </c>
      <c r="R45" s="768" t="s">
        <v>17</v>
      </c>
      <c r="S45" s="769">
        <f t="shared" si="12"/>
        <v>100</v>
      </c>
      <c r="T45" s="768" t="s">
        <v>17</v>
      </c>
      <c r="U45" s="769">
        <f t="shared" si="13"/>
        <v>100</v>
      </c>
      <c r="V45" s="768" t="s">
        <v>17</v>
      </c>
      <c r="W45" s="769">
        <f t="shared" si="14"/>
        <v>100</v>
      </c>
      <c r="X45" s="770"/>
      <c r="Y45" s="3237"/>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5"/>
      <c r="Q46" s="3028">
        <f t="shared" si="11"/>
        <v>111</v>
      </c>
      <c r="R46" s="772" t="s">
        <v>17</v>
      </c>
      <c r="S46" s="773">
        <f t="shared" si="12"/>
        <v>100</v>
      </c>
      <c r="T46" s="772" t="s">
        <v>17</v>
      </c>
      <c r="U46" s="773">
        <f t="shared" si="13"/>
        <v>100</v>
      </c>
      <c r="V46" s="772" t="s">
        <v>17</v>
      </c>
      <c r="W46" s="773">
        <f t="shared" si="14"/>
        <v>100</v>
      </c>
      <c r="X46" s="3026"/>
      <c r="Y46" s="3237"/>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6"/>
      <c r="Q47" s="3028">
        <f t="shared" si="11"/>
        <v>0.95</v>
      </c>
      <c r="R47" s="772" t="s">
        <v>17</v>
      </c>
      <c r="S47" s="773">
        <f t="shared" si="12"/>
        <v>100</v>
      </c>
      <c r="T47" s="772" t="s">
        <v>17</v>
      </c>
      <c r="U47" s="773">
        <f t="shared" si="13"/>
        <v>100</v>
      </c>
      <c r="V47" s="772" t="s">
        <v>17</v>
      </c>
      <c r="W47" s="773">
        <f t="shared" si="14"/>
        <v>100</v>
      </c>
      <c r="X47" s="3026"/>
      <c r="Y47" s="3238"/>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0" t="str">
        <f>A48</f>
        <v>成交单价（元/平方米）</v>
      </c>
      <c r="Q48" s="3225"/>
      <c r="R48" s="3226">
        <f>E48</f>
        <v>26600</v>
      </c>
      <c r="S48" s="3226"/>
      <c r="T48" s="3226">
        <f>G48</f>
        <v>23750</v>
      </c>
      <c r="U48" s="3226"/>
      <c r="V48" s="3226">
        <f>I48</f>
        <v>26600</v>
      </c>
      <c r="W48" s="3226"/>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0" t="str">
        <f>A49</f>
        <v>比较价值（元/平方米）</v>
      </c>
      <c r="Q49" s="3225"/>
      <c r="R49" s="3226">
        <f>IF(F1="售价",ROUND(PRODUCT(R48,AA7:AA47),0),ROUND(PRODUCT(R48,AA7:AA47),1))</f>
        <v>25204</v>
      </c>
      <c r="S49" s="3226"/>
      <c r="T49" s="3226">
        <f>IF(F1="售价",ROUND(PRODUCT(T48,AB7:AB47),0),ROUND(PRODUCT(T48,AB7:AB47),1))</f>
        <v>24593</v>
      </c>
      <c r="U49" s="3226"/>
      <c r="V49" s="3226">
        <f>IF(F1="售价",ROUND(PRODUCT(V48,AC7:AC47),0),ROUND(PRODUCT(V48,AC7:AC47),1))</f>
        <v>24175</v>
      </c>
      <c r="W49" s="3226"/>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02" t="str">
        <f>A50</f>
        <v>估价对象XX用房的比较价值（楼面单价，元/平方米）</v>
      </c>
      <c r="Q50" s="3303"/>
      <c r="R50" s="3304">
        <f>IF(F1="售价",ROUND(AVERAGE(R49:V49),0),ROUND(AVERAGE(R49:V49),1))</f>
        <v>24657</v>
      </c>
      <c r="S50" s="3304"/>
      <c r="T50" s="3304"/>
      <c r="U50" s="3304"/>
      <c r="V50" s="3304"/>
      <c r="W50" s="330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3319</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44.68</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34018</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20991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1599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1597</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3012" t="s">
        <v>1402</v>
      </c>
      <c r="F7" s="348">
        <f ca="1">IF(INDIRECT("'数据-取费表'!ah"&amp;$G$1)="",INDIRECT("'数据-取费表'!k"&amp;$G$1),INDIRECT("'数据-取费表'!ah"&amp;$G$1))</f>
        <v>16206.23</v>
      </c>
      <c r="G7" s="1849"/>
      <c r="H7" s="349"/>
      <c r="I7" s="3276"/>
      <c r="J7" s="351"/>
      <c r="K7" s="352"/>
      <c r="L7" s="347" t="s">
        <v>1402</v>
      </c>
      <c r="M7" s="348">
        <f ca="1">F7</f>
        <v>16206.23</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425</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277.2</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83.76</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191.88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32</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1174</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33945</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20946</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-47400</v>
      </c>
      <c r="D46" s="1870" t="str">
        <f>C2</f>
        <v>万元</v>
      </c>
      <c r="E46" s="1864"/>
      <c r="F46" s="1864"/>
      <c r="I46" s="1871" t="s">
        <v>1517</v>
      </c>
      <c r="J46" s="1872"/>
      <c r="K46" s="1873"/>
      <c r="L46" s="1874">
        <f ca="1">IF(M47="住宅",0,IF(L48&gt;J51,L60,J60))</f>
        <v>73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33945</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73</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2019</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12710</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34018</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0.255</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33945</v>
      </c>
      <c r="R56" s="1884" t="s">
        <v>1525</v>
      </c>
    </row>
    <row r="57" spans="1:18" s="1840" customFormat="1" ht="24.75" thickBot="1">
      <c r="A57" s="1916"/>
      <c r="B57" s="1170" t="s">
        <v>1474</v>
      </c>
      <c r="C57" s="282">
        <f ca="1">C29</f>
        <v>6987</v>
      </c>
      <c r="D57" s="1917"/>
      <c r="E57" s="1918"/>
      <c r="F57" s="1919"/>
      <c r="I57" s="1920" t="s">
        <v>1552</v>
      </c>
      <c r="J57" s="1921">
        <f ca="1">IF(OR(M47="住宅",J51&lt;L48,J56="是"),"——",J51-L48)</f>
        <v>15.32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33945</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33945</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12710</v>
      </c>
      <c r="R67" s="1884" t="s">
        <v>1578</v>
      </c>
    </row>
    <row r="68" spans="1:18" s="1840" customFormat="1" ht="16.5" thickBot="1">
      <c r="A68" s="1167" t="s">
        <v>1029</v>
      </c>
      <c r="B68" s="1168" t="s">
        <v>1481</v>
      </c>
      <c r="C68" s="346">
        <f ca="1">ROUND(C67*(1-((1+F70)/(1+F68))^F69)/(F68-F70),0)</f>
        <v>-13455</v>
      </c>
      <c r="D68" s="1185" t="s">
        <v>1465</v>
      </c>
      <c r="E68" s="1170" t="s">
        <v>1466</v>
      </c>
      <c r="F68" s="357">
        <f ca="1">F40</f>
        <v>4.4999999999999998E-2</v>
      </c>
      <c r="O68" s="1892" t="s">
        <v>1040</v>
      </c>
      <c r="P68" s="1932" t="s">
        <v>1579</v>
      </c>
      <c r="Q68" s="1884">
        <f ca="1">ROUND(Q69-Q70*Q71,0)</f>
        <v>615</v>
      </c>
      <c r="R68" s="1884" t="s">
        <v>1048</v>
      </c>
    </row>
    <row r="69" spans="1:18" s="1840" customFormat="1" ht="13.5" thickBot="1">
      <c r="A69" s="1171"/>
      <c r="B69" s="1172"/>
      <c r="C69" s="351"/>
      <c r="D69" s="1190" t="s">
        <v>1469</v>
      </c>
      <c r="E69" s="1170" t="s">
        <v>1470</v>
      </c>
      <c r="F69" s="379">
        <f ca="1">F41</f>
        <v>44.68</v>
      </c>
      <c r="O69" s="1892" t="s">
        <v>1045</v>
      </c>
      <c r="P69" s="1932" t="s">
        <v>1580</v>
      </c>
      <c r="Q69" s="1884">
        <f ca="1">C39</f>
        <v>1174</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-8302</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33945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6" t="str">
        <f>IF(项目基本情况!B9="房地产市场价值","估价结果一览表","结果表-2")</f>
        <v>估价结果一览表</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在建建筑物价值</v>
      </c>
      <c r="G2" s="3057"/>
      <c r="H2" s="3057" t="str">
        <f>IF(项目基本情况!B9="房地产市场价值","房地产市场价值","房地产价值")</f>
        <v>房地产市场价值</v>
      </c>
      <c r="I2" s="3057"/>
    </row>
    <row r="3" spans="1:9" ht="15">
      <c r="A3" s="3051"/>
      <c r="B3" s="3051"/>
      <c r="C3" s="3051"/>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74484</v>
      </c>
      <c r="I4" s="1045">
        <f ca="1">结果表!I118</f>
        <v>23417</v>
      </c>
    </row>
    <row r="5" spans="1:9" ht="30" customHeight="1">
      <c r="A5" s="3051" t="s">
        <v>1636</v>
      </c>
      <c r="B5" s="3051"/>
      <c r="C5" s="3051"/>
      <c r="D5" s="3052" t="e">
        <f ca="1">结果表!D119</f>
        <v>#REF!</v>
      </c>
      <c r="E5" s="3052"/>
      <c r="F5" s="3052" t="e">
        <f ca="1">结果表!F119</f>
        <v>#REF!</v>
      </c>
      <c r="G5" s="3052"/>
      <c r="H5" s="3052" t="str">
        <f ca="1">结果表!H119</f>
        <v>柒亿肆仟肆佰捌拾肆万元整</v>
      </c>
      <c r="I5" s="3052"/>
    </row>
    <row r="6" spans="1:9" ht="15.75">
      <c r="A6" s="3050" t="str">
        <f>结果表!A120</f>
        <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
      </c>
      <c r="B8" s="3050"/>
      <c r="C8" s="3050"/>
      <c r="D8" s="3050">
        <f ca="1">结果表!D122</f>
        <v>74484</v>
      </c>
      <c r="E8" s="3050"/>
      <c r="F8" s="3050"/>
      <c r="G8" s="3050"/>
      <c r="H8" s="3050"/>
      <c r="I8" s="3050"/>
    </row>
    <row r="9" spans="1:9" ht="15">
      <c r="A9" s="3051" t="s">
        <v>1636</v>
      </c>
      <c r="B9" s="3051"/>
      <c r="C9" s="3051"/>
      <c r="D9" s="3052" t="str">
        <f ca="1">结果表!D123</f>
        <v>柒亿肆仟肆佰捌拾肆万元整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9" sqref="C19"/>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row r="13" spans="1:4">
      <c r="C13" s="2969">
        <f ca="1">结果表!G20</f>
        <v>23417</v>
      </c>
    </row>
    <row r="14" spans="1:4">
      <c r="C14" s="2969">
        <f ca="1">C13*B1/10000</f>
        <v>37947.084581000003</v>
      </c>
    </row>
    <row r="15" spans="1:4">
      <c r="C15" s="2969">
        <f ca="1">C13*B2/10000</f>
        <v>36537.638768000004</v>
      </c>
    </row>
    <row r="17" spans="3:3">
      <c r="C17" s="3035"/>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J29" sqref="J29"/>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4" t="s">
        <v>1658</v>
      </c>
      <c r="B1" s="3064"/>
      <c r="C1" s="3064"/>
      <c r="D1" s="3064"/>
    </row>
    <row r="2" spans="1:4" ht="18">
      <c r="A2" s="3065" t="s">
        <v>1642</v>
      </c>
      <c r="B2" s="3065"/>
      <c r="C2" s="3065"/>
      <c r="D2" s="3065"/>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65" t="s">
        <v>1648</v>
      </c>
      <c r="B6" s="3065"/>
      <c r="C6" s="3065"/>
      <c r="D6" s="3065"/>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3"/>
      <c r="C12" s="3063"/>
      <c r="D12" s="3063"/>
    </row>
    <row r="13" spans="1:4" ht="30" customHeight="1">
      <c r="A13" s="3058" t="str">
        <f>IF(项目基本情况!B8="抵押","3.抵押双方在办理抵押登记手续时，应使用本公司出具的正式《房地产评估报告》，特提醒报告使用者注意。","——")</f>
        <v>——</v>
      </c>
      <c r="B13" s="3063"/>
      <c r="C13" s="3063"/>
      <c r="D13" s="3063"/>
    </row>
    <row r="14" spans="1:4" ht="15.75" customHeight="1">
      <c r="A14" s="3058" t="str">
        <f>IF(项目基本情况!B8="抵押","4.本次评估估价师所知悉的法定优先受偿款情况说明如下：","——")</f>
        <v>——</v>
      </c>
      <c r="B14" s="3063"/>
      <c r="C14" s="3063"/>
      <c r="D14" s="3063"/>
    </row>
    <row r="15" spans="1:4" ht="42" customHeight="1">
      <c r="A15" s="3058" t="str">
        <f>IF(项目基本情况!B8="抵押","（1）"&amp;CONCATENATE(项目基本情况!L20,项目基本情况!L21,项目基本情况!L22),"——")</f>
        <v>——</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2" t="s">
        <v>1665</v>
      </c>
      <c r="B15" s="3067" t="s">
        <v>136</v>
      </c>
      <c r="C15" s="3068"/>
    </row>
    <row r="16" spans="1:7" ht="13.5">
      <c r="A16" s="3073"/>
      <c r="B16" s="3067" t="s">
        <v>69</v>
      </c>
      <c r="C16" s="3068"/>
    </row>
    <row r="17" spans="1:3" ht="13.5">
      <c r="A17" s="3073"/>
      <c r="B17" s="3070" t="s">
        <v>1666</v>
      </c>
      <c r="C17" s="1998" t="s">
        <v>1665</v>
      </c>
    </row>
    <row r="18" spans="1:3" ht="13.5">
      <c r="A18" s="3073"/>
      <c r="B18" s="3070"/>
      <c r="C18" s="1998" t="s">
        <v>1667</v>
      </c>
    </row>
    <row r="19" spans="1:3" ht="13.5">
      <c r="A19" s="3073"/>
      <c r="B19" s="3070"/>
      <c r="C19" s="1998" t="s">
        <v>1668</v>
      </c>
    </row>
    <row r="20" spans="1:3" ht="13.5">
      <c r="A20" s="3074"/>
      <c r="B20" s="3069" t="s">
        <v>1669</v>
      </c>
      <c r="C20" s="3068"/>
    </row>
    <row r="21" spans="1:3" ht="13.5">
      <c r="A21" s="1999" t="s">
        <v>1670</v>
      </c>
      <c r="B21" s="2000"/>
      <c r="C21" s="2001"/>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1998" t="s">
        <v>1676</v>
      </c>
    </row>
    <row r="26" spans="1:3" ht="13.5">
      <c r="A26" s="3071"/>
      <c r="B26" s="3070"/>
      <c r="C26" s="1998" t="s">
        <v>1677</v>
      </c>
    </row>
    <row r="27" spans="1:3" ht="13.5">
      <c r="A27" s="3071"/>
      <c r="B27" s="3070"/>
      <c r="C27" s="1998" t="s">
        <v>1678</v>
      </c>
    </row>
    <row r="28" spans="1:3" ht="13.5">
      <c r="A28" s="3071"/>
      <c r="B28" s="3070"/>
      <c r="C28" s="1998" t="s">
        <v>1679</v>
      </c>
    </row>
    <row r="29" spans="1:3" ht="13.5">
      <c r="A29" s="3071"/>
      <c r="B29" s="3070"/>
      <c r="C29" s="1998" t="s">
        <v>1680</v>
      </c>
    </row>
    <row r="30" spans="1:3" ht="13.5">
      <c r="A30" s="3071"/>
      <c r="B30" s="3070"/>
      <c r="C30" s="1998" t="s">
        <v>1681</v>
      </c>
    </row>
    <row r="31" spans="1:3" ht="13.5">
      <c r="A31" s="3071"/>
      <c r="B31" s="3070"/>
      <c r="C31" s="1998" t="s">
        <v>1682</v>
      </c>
    </row>
    <row r="32" spans="1:3" ht="13.5">
      <c r="A32" s="3071"/>
      <c r="B32" s="3070"/>
      <c r="C32" s="1998" t="s">
        <v>1683</v>
      </c>
    </row>
    <row r="33" spans="1:3" ht="13.5">
      <c r="A33" s="3071"/>
      <c r="B33" s="3070"/>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43573</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5" t="s">
        <v>843</v>
      </c>
      <c r="B25" s="3075"/>
      <c r="C25" s="3075"/>
      <c r="D25" s="3075"/>
      <c r="E25" s="3075"/>
      <c r="F25" s="3075"/>
      <c r="G25" s="3075"/>
    </row>
    <row r="26" spans="1:7" s="1026" customFormat="1" ht="24" customHeight="1">
      <c r="A26" s="3076" t="s">
        <v>844</v>
      </c>
      <c r="B26" s="3076"/>
      <c r="C26" s="3077"/>
      <c r="D26" s="3078" t="s">
        <v>845</v>
      </c>
      <c r="E26" s="3076"/>
      <c r="F26" s="3076"/>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2019-04-18T05:11:57Z</dcterms:modified>
</cp:coreProperties>
</file>